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riat_Gudrun\Documents\"/>
    </mc:Choice>
  </mc:AlternateContent>
  <workbookProtection workbookAlgorithmName="SHA-512" workbookHashValue="OsXTFx+OvnL39wBwLbr/D4MLaZbk52EmfAgW1QrS8vfGHXyuNekOa7NYDhOPEmfEaq/fkom0YrYjeSMKOCtX6Q==" workbookSaltValue="16WwXAk0OuRQIkKaNJTOoQ==" workbookSpinCount="100000" lockStructure="1"/>
  <bookViews>
    <workbookView xWindow="0" yWindow="0" windowWidth="16152" windowHeight="11136" firstSheet="2" activeTab="2"/>
  </bookViews>
  <sheets>
    <sheet name="Deliveries" sheetId="1" state="hidden" r:id="rId1"/>
    <sheet name="Inputs" sheetId="2" state="hidden" r:id="rId2"/>
    <sheet name="Analyses" sheetId="3" r:id="rId3"/>
  </sheets>
  <definedNames>
    <definedName name="solver_adj" localSheetId="2" hidden="1">Analyses!$F$69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Analyses!$F$69</definedName>
    <definedName name="solver_lhs2" localSheetId="2" hidden="1">Analyses!$F$70</definedName>
    <definedName name="solver_lhs3" localSheetId="2" hidden="1">Analyses!$F$71</definedName>
    <definedName name="solver_lhs4" localSheetId="2" hidden="1">Analyses!$F$72</definedName>
    <definedName name="solver_lhs5" localSheetId="2" hidden="1">Analyses!$F$75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5</definedName>
    <definedName name="solver_nwt" localSheetId="2" hidden="1">1</definedName>
    <definedName name="solver_opt" localSheetId="2" hidden="1">Analyses!$F$75</definedName>
    <definedName name="solver_pre" localSheetId="2" hidden="1">0.000001</definedName>
    <definedName name="solver_rbv" localSheetId="2" hidden="1">1</definedName>
    <definedName name="solver_rel1" localSheetId="2" hidden="1">3</definedName>
    <definedName name="solver_rel2" localSheetId="2" hidden="1">3</definedName>
    <definedName name="solver_rel3" localSheetId="2" hidden="1">3</definedName>
    <definedName name="solver_rel4" localSheetId="2" hidden="1">3</definedName>
    <definedName name="solver_rel5" localSheetId="2" hidden="1">3</definedName>
    <definedName name="solver_rhs1" localSheetId="2" hidden="1">0</definedName>
    <definedName name="solver_rhs2" localSheetId="2" hidden="1">0</definedName>
    <definedName name="solver_rhs3" localSheetId="2" hidden="1">0</definedName>
    <definedName name="solver_rhs4" localSheetId="2" hidden="1">0</definedName>
    <definedName name="solver_rhs5" localSheetId="2" hidden="1">0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3" l="1"/>
  <c r="K13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D36" i="3" l="1"/>
  <c r="G14" i="3"/>
  <c r="F14" i="3"/>
  <c r="C16" i="3" l="1"/>
  <c r="E14" i="3"/>
  <c r="D14" i="3"/>
  <c r="D9" i="3"/>
  <c r="C9" i="3"/>
  <c r="C10" i="3" s="1"/>
  <c r="I14" i="3"/>
  <c r="H14" i="3"/>
  <c r="G9" i="3"/>
  <c r="P21" i="3"/>
  <c r="L21" i="3"/>
  <c r="M21" i="3"/>
  <c r="N21" i="3"/>
  <c r="O21" i="3"/>
  <c r="L22" i="3"/>
  <c r="M22" i="3"/>
  <c r="N22" i="3"/>
  <c r="O22" i="3"/>
  <c r="P22" i="3"/>
  <c r="L23" i="3"/>
  <c r="M23" i="3"/>
  <c r="N23" i="3"/>
  <c r="O23" i="3"/>
  <c r="P23" i="3"/>
  <c r="L24" i="3"/>
  <c r="M24" i="3"/>
  <c r="N24" i="3"/>
  <c r="O24" i="3"/>
  <c r="P24" i="3"/>
  <c r="K22" i="3"/>
  <c r="K23" i="3"/>
  <c r="K24" i="3"/>
  <c r="K21" i="3"/>
  <c r="E11" i="3"/>
  <c r="D11" i="3"/>
  <c r="C11" i="3"/>
  <c r="E9" i="3"/>
  <c r="F9" i="3"/>
  <c r="H9" i="3"/>
  <c r="I9" i="3"/>
  <c r="J9" i="3"/>
  <c r="K9" i="3"/>
  <c r="L9" i="3"/>
  <c r="M9" i="3"/>
  <c r="N9" i="3"/>
  <c r="O9" i="3"/>
  <c r="P9" i="3"/>
  <c r="D15" i="3"/>
  <c r="E15" i="3"/>
  <c r="I13" i="3"/>
  <c r="I15" i="3" s="1"/>
  <c r="J13" i="3"/>
  <c r="J15" i="3" s="1"/>
  <c r="K15" i="3"/>
  <c r="L13" i="3"/>
  <c r="L15" i="3" s="1"/>
  <c r="M13" i="3"/>
  <c r="M15" i="3" s="1"/>
  <c r="N13" i="3"/>
  <c r="N15" i="3" s="1"/>
  <c r="O13" i="3"/>
  <c r="O15" i="3" s="1"/>
  <c r="P13" i="3"/>
  <c r="P11" i="3" s="1"/>
  <c r="G13" i="3"/>
  <c r="H13" i="3"/>
  <c r="H15" i="3" s="1"/>
  <c r="F13" i="3"/>
  <c r="D17" i="3" l="1"/>
  <c r="F11" i="3"/>
  <c r="F15" i="3"/>
  <c r="G15" i="3"/>
  <c r="D16" i="3"/>
  <c r="E16" i="3" s="1"/>
  <c r="F16" i="3" s="1"/>
  <c r="G16" i="3" s="1"/>
  <c r="H16" i="3" s="1"/>
  <c r="I16" i="3" s="1"/>
  <c r="J16" i="3" s="1"/>
  <c r="H24" i="3"/>
  <c r="J22" i="3"/>
  <c r="H11" i="3"/>
  <c r="G11" i="3"/>
  <c r="G24" i="3"/>
  <c r="J24" i="3"/>
  <c r="N11" i="3"/>
  <c r="M11" i="3"/>
  <c r="L11" i="3"/>
  <c r="O11" i="3"/>
  <c r="K11" i="3"/>
  <c r="J11" i="3"/>
  <c r="M14" i="3"/>
  <c r="P15" i="3"/>
  <c r="P14" i="3" s="1"/>
  <c r="I11" i="3"/>
  <c r="O14" i="3"/>
  <c r="K14" i="3" l="1"/>
  <c r="K16" i="3" s="1"/>
  <c r="L14" i="3"/>
  <c r="N14" i="3"/>
  <c r="E17" i="3"/>
  <c r="F17" i="3" s="1"/>
  <c r="G17" i="3" s="1"/>
  <c r="H17" i="3" s="1"/>
  <c r="I17" i="3" s="1"/>
  <c r="J17" i="3" s="1"/>
  <c r="K17" i="3" s="1"/>
  <c r="I24" i="3"/>
  <c r="I22" i="3"/>
  <c r="H23" i="3"/>
  <c r="G22" i="3"/>
  <c r="G23" i="3"/>
  <c r="H22" i="3"/>
  <c r="I23" i="3"/>
  <c r="C36" i="3"/>
  <c r="J23" i="3"/>
  <c r="J21" i="3"/>
  <c r="H21" i="3"/>
  <c r="G21" i="3"/>
  <c r="I21" i="3"/>
  <c r="L17" i="3" l="1"/>
  <c r="M17" i="3" s="1"/>
  <c r="N17" i="3" s="1"/>
  <c r="O17" i="3" s="1"/>
  <c r="P17" i="3" s="1"/>
  <c r="L16" i="3"/>
  <c r="M16" i="3" s="1"/>
  <c r="N16" i="3" s="1"/>
  <c r="O16" i="3" s="1"/>
  <c r="P16" i="3" s="1"/>
</calcChain>
</file>

<file path=xl/sharedStrings.xml><?xml version="1.0" encoding="utf-8"?>
<sst xmlns="http://schemas.openxmlformats.org/spreadsheetml/2006/main" count="97" uniqueCount="74">
  <si>
    <t>OLD ALLOCATION</t>
  </si>
  <si>
    <t>Belgium</t>
  </si>
  <si>
    <t>Dec-28-2020</t>
  </si>
  <si>
    <t>Jan-04-2021</t>
  </si>
  <si>
    <t>Jan-11-2021</t>
  </si>
  <si>
    <t>Jan-18-2021</t>
  </si>
  <si>
    <t>Jan-25-2021</t>
  </si>
  <si>
    <t>Feb-01-2021</t>
  </si>
  <si>
    <t>Feb-08-2021</t>
  </si>
  <si>
    <t>Feb-15-2021</t>
  </si>
  <si>
    <t>Feb-22-2021</t>
  </si>
  <si>
    <t>Mar-01-2021</t>
  </si>
  <si>
    <t>Mar-08-2021</t>
  </si>
  <si>
    <t>Mar-15-2021</t>
  </si>
  <si>
    <t>Mar-22-2021</t>
  </si>
  <si>
    <t>Mar-29-2021</t>
  </si>
  <si>
    <t>Total Allocation (in trays)</t>
  </si>
  <si>
    <t>Total Allocation (in doses)</t>
  </si>
  <si>
    <t>Cumulative Allocation (in Doses)</t>
  </si>
  <si>
    <t xml:space="preserve">NEW ALLOCATION </t>
  </si>
  <si>
    <t>Doses differences per week</t>
  </si>
  <si>
    <t>Remaining doses</t>
  </si>
  <si>
    <t>Pfizer availability scenarios</t>
  </si>
  <si>
    <t>Input</t>
  </si>
  <si>
    <t>Input variables</t>
  </si>
  <si>
    <t>Weekly strategic stock</t>
  </si>
  <si>
    <t>Theoretically delivered doses</t>
  </si>
  <si>
    <t>First dose administered</t>
  </si>
  <si>
    <t>Second dose required</t>
  </si>
  <si>
    <t>Strategic stock accumulated</t>
  </si>
  <si>
    <t>Waste</t>
  </si>
  <si>
    <t>Total administered per week</t>
  </si>
  <si>
    <t>28/12</t>
  </si>
  <si>
    <t>4/1</t>
  </si>
  <si>
    <t>11/1</t>
  </si>
  <si>
    <t>18/1</t>
  </si>
  <si>
    <t>25/1</t>
  </si>
  <si>
    <t>1/2</t>
  </si>
  <si>
    <t>8/2</t>
  </si>
  <si>
    <t>15/2</t>
  </si>
  <si>
    <t>22/2</t>
  </si>
  <si>
    <t>1/3</t>
  </si>
  <si>
    <t>8/3</t>
  </si>
  <si>
    <t>15/3</t>
  </si>
  <si>
    <t>22/3</t>
  </si>
  <si>
    <t>29/3</t>
  </si>
  <si>
    <t>Wallonia</t>
  </si>
  <si>
    <t>Flanders</t>
  </si>
  <si>
    <t>Average of first doses to be administered per federated entity based on elderly care quota (weekly basis)</t>
  </si>
  <si>
    <t>Effectively estimated delivered doses</t>
  </si>
  <si>
    <t>Fixed number of 1st doses per week, 3 week interval between doses</t>
  </si>
  <si>
    <t>Assumptions</t>
  </si>
  <si>
    <t>1. Weekly average waste = 2%</t>
  </si>
  <si>
    <t>2. Use of 6th dose during first weeks: 28/12 (50%); 4/1 (50%); 11/1 (100%)</t>
  </si>
  <si>
    <t>3. Strategic stock is accumulated as of 22/2 (7% per week)</t>
  </si>
  <si>
    <t>Based on quota centres for elderly care</t>
  </si>
  <si>
    <t>Based on quota hospital personnel</t>
  </si>
  <si>
    <t xml:space="preserve">4. Distribution keys: </t>
  </si>
  <si>
    <t>German-speaking Community</t>
  </si>
  <si>
    <t xml:space="preserve">Brussels </t>
  </si>
  <si>
    <t>Brussels</t>
  </si>
  <si>
    <t>Elderly care</t>
  </si>
  <si>
    <t>Hospitals</t>
  </si>
  <si>
    <t>Total</t>
  </si>
  <si>
    <t>5. Weekly number of first doses for 18/1 (cell F12): 125K (Source: orders Medista)</t>
  </si>
  <si>
    <t>Pfizer availability dashboard</t>
  </si>
  <si>
    <t>Key insights</t>
  </si>
  <si>
    <t>2. Temporary accumulating some stock is needed to secure the 2nd dose based on current planning  (see weeks 11/1 - 1/2)</t>
  </si>
  <si>
    <t>3. A strategic stock is progressively built to cope with supply chain interruptions</t>
  </si>
  <si>
    <t>4. Mitigations are only feasible if planning of week x is based on deliveries in week x-1</t>
  </si>
  <si>
    <t>Regeringscommissariaat Corona</t>
  </si>
  <si>
    <t>Commissariat Corona du Gouvernement</t>
  </si>
  <si>
    <t>1. Belgium could administer a weekly average of ~54K 1st doses without compromising the 2nd dose</t>
  </si>
  <si>
    <t>Analyses v.1.1 22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</si>
</sst>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BFBFBF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5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16" applyNumberFormat="0" applyFill="0" applyAlignment="0" applyProtection="0"/>
    <xf numFmtId="0" fontId="11" fillId="4" borderId="0" applyNumberFormat="0" applyAlignment="0" applyProtection="0"/>
    <xf numFmtId="0" fontId="13" fillId="0" borderId="44" applyNumberFormat="0" applyFill="0" applyAlignment="0" applyProtection="0"/>
  </cellStyleXfs>
  <cellXfs count="111">
    <xf numFmtId="0" fontId="0" fillId="0" borderId="0" xfId="0"/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9" fontId="0" fillId="0" borderId="0" xfId="1" applyFont="1"/>
    <xf numFmtId="164" fontId="0" fillId="0" borderId="0" xfId="0" applyNumberFormat="1"/>
    <xf numFmtId="0" fontId="3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0" fillId="0" borderId="0" xfId="0" applyBorder="1"/>
    <xf numFmtId="0" fontId="0" fillId="0" borderId="10" xfId="0" applyBorder="1"/>
    <xf numFmtId="0" fontId="5" fillId="0" borderId="7" xfId="0" applyFont="1" applyBorder="1"/>
    <xf numFmtId="0" fontId="6" fillId="2" borderId="8" xfId="0" applyFont="1" applyFill="1" applyBorder="1"/>
    <xf numFmtId="0" fontId="0" fillId="0" borderId="11" xfId="0" applyBorder="1"/>
    <xf numFmtId="0" fontId="0" fillId="0" borderId="12" xfId="0" applyBorder="1"/>
    <xf numFmtId="0" fontId="5" fillId="0" borderId="13" xfId="0" applyFont="1" applyFill="1" applyBorder="1"/>
    <xf numFmtId="0" fontId="0" fillId="0" borderId="14" xfId="0" applyBorder="1"/>
    <xf numFmtId="0" fontId="0" fillId="0" borderId="15" xfId="0" applyBorder="1"/>
    <xf numFmtId="0" fontId="7" fillId="0" borderId="0" xfId="0" applyFont="1" applyFill="1" applyBorder="1"/>
    <xf numFmtId="0" fontId="2" fillId="0" borderId="0" xfId="0" applyFont="1"/>
    <xf numFmtId="0" fontId="0" fillId="3" borderId="0" xfId="0" applyFill="1"/>
    <xf numFmtId="0" fontId="8" fillId="0" borderId="16" xfId="2"/>
    <xf numFmtId="0" fontId="9" fillId="3" borderId="0" xfId="0" applyFont="1" applyFill="1"/>
    <xf numFmtId="0" fontId="10" fillId="3" borderId="0" xfId="0" applyFont="1" applyFill="1"/>
    <xf numFmtId="9" fontId="0" fillId="0" borderId="0" xfId="0" applyNumberFormat="1"/>
    <xf numFmtId="3" fontId="0" fillId="0" borderId="19" xfId="0" applyNumberFormat="1" applyBorder="1"/>
    <xf numFmtId="3" fontId="0" fillId="0" borderId="22" xfId="0" applyNumberFormat="1" applyBorder="1"/>
    <xf numFmtId="3" fontId="0" fillId="0" borderId="25" xfId="0" applyNumberFormat="1" applyBorder="1"/>
    <xf numFmtId="10" fontId="0" fillId="0" borderId="0" xfId="0" applyNumberFormat="1"/>
    <xf numFmtId="165" fontId="0" fillId="0" borderId="0" xfId="1" applyNumberFormat="1" applyFont="1"/>
    <xf numFmtId="3" fontId="0" fillId="5" borderId="19" xfId="0" applyNumberFormat="1" applyFill="1" applyBorder="1"/>
    <xf numFmtId="3" fontId="0" fillId="5" borderId="22" xfId="0" applyNumberFormat="1" applyFill="1" applyBorder="1"/>
    <xf numFmtId="3" fontId="0" fillId="5" borderId="25" xfId="0" applyNumberFormat="1" applyFill="1" applyBorder="1"/>
    <xf numFmtId="0" fontId="0" fillId="0" borderId="18" xfId="0" applyBorder="1"/>
    <xf numFmtId="0" fontId="0" fillId="0" borderId="19" xfId="0" applyBorder="1"/>
    <xf numFmtId="3" fontId="0" fillId="5" borderId="20" xfId="0" applyNumberFormat="1" applyFill="1" applyBorder="1"/>
    <xf numFmtId="0" fontId="0" fillId="0" borderId="21" xfId="0" applyFill="1" applyBorder="1"/>
    <xf numFmtId="0" fontId="0" fillId="0" borderId="22" xfId="0" applyBorder="1"/>
    <xf numFmtId="3" fontId="0" fillId="5" borderId="23" xfId="0" applyNumberFormat="1" applyFill="1" applyBorder="1"/>
    <xf numFmtId="0" fontId="0" fillId="0" borderId="24" xfId="0" applyFill="1" applyBorder="1"/>
    <xf numFmtId="0" fontId="0" fillId="0" borderId="25" xfId="0" applyBorder="1"/>
    <xf numFmtId="3" fontId="0" fillId="5" borderId="26" xfId="0" applyNumberFormat="1" applyFill="1" applyBorder="1"/>
    <xf numFmtId="3" fontId="11" fillId="6" borderId="19" xfId="0" applyNumberFormat="1" applyFont="1" applyFill="1" applyBorder="1"/>
    <xf numFmtId="3" fontId="11" fillId="6" borderId="22" xfId="0" applyNumberFormat="1" applyFont="1" applyFill="1" applyBorder="1"/>
    <xf numFmtId="3" fontId="11" fillId="6" borderId="27" xfId="0" applyNumberFormat="1" applyFont="1" applyFill="1" applyBorder="1"/>
    <xf numFmtId="3" fontId="11" fillId="6" borderId="25" xfId="0" applyNumberFormat="1" applyFont="1" applyFill="1" applyBorder="1"/>
    <xf numFmtId="3" fontId="0" fillId="7" borderId="19" xfId="0" applyNumberFormat="1" applyFill="1" applyBorder="1"/>
    <xf numFmtId="3" fontId="11" fillId="7" borderId="22" xfId="0" applyNumberFormat="1" applyFont="1" applyFill="1" applyBorder="1"/>
    <xf numFmtId="3" fontId="11" fillId="7" borderId="25" xfId="0" applyNumberFormat="1" applyFont="1" applyFill="1" applyBorder="1"/>
    <xf numFmtId="0" fontId="0" fillId="0" borderId="17" xfId="0" applyFont="1" applyBorder="1"/>
    <xf numFmtId="0" fontId="0" fillId="0" borderId="29" xfId="0" applyBorder="1"/>
    <xf numFmtId="0" fontId="0" fillId="0" borderId="34" xfId="0" applyBorder="1"/>
    <xf numFmtId="3" fontId="0" fillId="7" borderId="35" xfId="0" applyNumberFormat="1" applyFill="1" applyBorder="1"/>
    <xf numFmtId="0" fontId="0" fillId="0" borderId="36" xfId="0" applyBorder="1"/>
    <xf numFmtId="3" fontId="11" fillId="7" borderId="37" xfId="0" applyNumberFormat="1" applyFont="1" applyFill="1" applyBorder="1"/>
    <xf numFmtId="0" fontId="0" fillId="0" borderId="36" xfId="0" applyFont="1" applyBorder="1"/>
    <xf numFmtId="3" fontId="0" fillId="0" borderId="37" xfId="0" applyNumberFormat="1" applyBorder="1"/>
    <xf numFmtId="0" fontId="0" fillId="0" borderId="38" xfId="0" applyBorder="1"/>
    <xf numFmtId="3" fontId="11" fillId="7" borderId="39" xfId="0" applyNumberFormat="1" applyFont="1" applyFill="1" applyBorder="1"/>
    <xf numFmtId="3" fontId="11" fillId="8" borderId="19" xfId="0" applyNumberFormat="1" applyFont="1" applyFill="1" applyBorder="1"/>
    <xf numFmtId="3" fontId="11" fillId="8" borderId="22" xfId="0" applyNumberFormat="1" applyFont="1" applyFill="1" applyBorder="1"/>
    <xf numFmtId="3" fontId="11" fillId="8" borderId="25" xfId="0" applyNumberFormat="1" applyFont="1" applyFill="1" applyBorder="1"/>
    <xf numFmtId="3" fontId="11" fillId="9" borderId="19" xfId="0" applyNumberFormat="1" applyFont="1" applyFill="1" applyBorder="1"/>
    <xf numFmtId="3" fontId="11" fillId="9" borderId="22" xfId="0" applyNumberFormat="1" applyFont="1" applyFill="1" applyBorder="1"/>
    <xf numFmtId="3" fontId="11" fillId="9" borderId="25" xfId="0" applyNumberFormat="1" applyFont="1" applyFill="1" applyBorder="1"/>
    <xf numFmtId="3" fontId="11" fillId="0" borderId="19" xfId="0" applyNumberFormat="1" applyFont="1" applyFill="1" applyBorder="1"/>
    <xf numFmtId="3" fontId="11" fillId="0" borderId="22" xfId="0" applyNumberFormat="1" applyFont="1" applyFill="1" applyBorder="1"/>
    <xf numFmtId="3" fontId="11" fillId="0" borderId="25" xfId="0" applyNumberFormat="1" applyFont="1" applyFill="1" applyBorder="1"/>
    <xf numFmtId="0" fontId="0" fillId="0" borderId="36" xfId="0" applyFont="1" applyBorder="1" applyAlignment="1">
      <alignment horizontal="left" indent="2"/>
    </xf>
    <xf numFmtId="3" fontId="11" fillId="0" borderId="27" xfId="0" applyNumberFormat="1" applyFont="1" applyFill="1" applyBorder="1"/>
    <xf numFmtId="3" fontId="0" fillId="0" borderId="27" xfId="0" applyNumberFormat="1" applyFont="1" applyFill="1" applyBorder="1"/>
    <xf numFmtId="3" fontId="0" fillId="0" borderId="33" xfId="0" applyNumberFormat="1" applyFont="1" applyFill="1" applyBorder="1"/>
    <xf numFmtId="3" fontId="11" fillId="6" borderId="28" xfId="0" applyNumberFormat="1" applyFont="1" applyFill="1" applyBorder="1"/>
    <xf numFmtId="3" fontId="11" fillId="0" borderId="28" xfId="0" applyNumberFormat="1" applyFont="1" applyFill="1" applyBorder="1"/>
    <xf numFmtId="3" fontId="0" fillId="0" borderId="28" xfId="0" applyNumberFormat="1" applyFont="1" applyFill="1" applyBorder="1"/>
    <xf numFmtId="3" fontId="0" fillId="0" borderId="32" xfId="0" applyNumberFormat="1" applyFont="1" applyFill="1" applyBorder="1"/>
    <xf numFmtId="3" fontId="14" fillId="6" borderId="42" xfId="3" applyNumberFormat="1" applyFont="1" applyFill="1" applyBorder="1"/>
    <xf numFmtId="3" fontId="14" fillId="0" borderId="42" xfId="3" applyNumberFormat="1" applyFont="1" applyFill="1" applyBorder="1"/>
    <xf numFmtId="3" fontId="14" fillId="0" borderId="43" xfId="3" applyNumberFormat="1" applyFont="1" applyFill="1" applyBorder="1"/>
    <xf numFmtId="49" fontId="9" fillId="10" borderId="30" xfId="0" applyNumberFormat="1" applyFont="1" applyFill="1" applyBorder="1" applyAlignment="1">
      <alignment horizontal="center"/>
    </xf>
    <xf numFmtId="49" fontId="9" fillId="10" borderId="31" xfId="0" applyNumberFormat="1" applyFont="1" applyFill="1" applyBorder="1" applyAlignment="1">
      <alignment horizontal="center"/>
    </xf>
    <xf numFmtId="3" fontId="11" fillId="9" borderId="40" xfId="3" applyNumberFormat="1" applyFont="1" applyFill="1" applyBorder="1"/>
    <xf numFmtId="0" fontId="0" fillId="0" borderId="0" xfId="0" applyFill="1" applyBorder="1"/>
    <xf numFmtId="165" fontId="15" fillId="0" borderId="17" xfId="1" applyNumberFormat="1" applyFont="1" applyBorder="1" applyAlignment="1">
      <alignment horizontal="center"/>
    </xf>
    <xf numFmtId="0" fontId="2" fillId="0" borderId="17" xfId="0" applyFont="1" applyBorder="1"/>
    <xf numFmtId="0" fontId="16" fillId="0" borderId="17" xfId="0" applyFont="1" applyBorder="1" applyAlignment="1">
      <alignment horizontal="center"/>
    </xf>
    <xf numFmtId="0" fontId="17" fillId="11" borderId="17" xfId="0" applyFont="1" applyFill="1" applyBorder="1" applyAlignment="1">
      <alignment horizontal="center"/>
    </xf>
    <xf numFmtId="3" fontId="0" fillId="12" borderId="19" xfId="0" applyNumberFormat="1" applyFill="1" applyBorder="1"/>
    <xf numFmtId="3" fontId="11" fillId="12" borderId="22" xfId="0" applyNumberFormat="1" applyFont="1" applyFill="1" applyBorder="1"/>
    <xf numFmtId="3" fontId="0" fillId="12" borderId="27" xfId="0" applyNumberFormat="1" applyFont="1" applyFill="1" applyBorder="1"/>
    <xf numFmtId="3" fontId="14" fillId="12" borderId="41" xfId="3" applyNumberFormat="1" applyFont="1" applyFill="1" applyBorder="1"/>
    <xf numFmtId="3" fontId="0" fillId="12" borderId="28" xfId="0" applyNumberFormat="1" applyFont="1" applyFill="1" applyBorder="1"/>
    <xf numFmtId="3" fontId="0" fillId="12" borderId="22" xfId="0" applyNumberFormat="1" applyFill="1" applyBorder="1"/>
    <xf numFmtId="3" fontId="11" fillId="12" borderId="25" xfId="0" applyNumberFormat="1" applyFont="1" applyFill="1" applyBorder="1"/>
    <xf numFmtId="0" fontId="0" fillId="13" borderId="0" xfId="0" applyFill="1"/>
    <xf numFmtId="0" fontId="9" fillId="13" borderId="0" xfId="0" applyFont="1" applyFill="1"/>
    <xf numFmtId="0" fontId="10" fillId="13" borderId="0" xfId="0" applyFont="1" applyFill="1"/>
    <xf numFmtId="0" fontId="9" fillId="13" borderId="17" xfId="0" applyFont="1" applyFill="1" applyBorder="1"/>
    <xf numFmtId="3" fontId="9" fillId="13" borderId="17" xfId="0" applyNumberFormat="1" applyFont="1" applyFill="1" applyBorder="1"/>
    <xf numFmtId="0" fontId="13" fillId="0" borderId="44" xfId="4"/>
    <xf numFmtId="0" fontId="13" fillId="0" borderId="44" xfId="4" applyFill="1"/>
    <xf numFmtId="0" fontId="12" fillId="0" borderId="17" xfId="0" applyFont="1" applyBorder="1" applyAlignment="1">
      <alignment horizontal="center"/>
    </xf>
    <xf numFmtId="0" fontId="0" fillId="0" borderId="0" xfId="0" applyAlignment="1">
      <alignment horizontal="left"/>
    </xf>
  </cellXfs>
  <cellStyles count="5">
    <cellStyle name="Heading 1" xfId="4" builtinId="16" customBuiltin="1"/>
    <cellStyle name="Heading 2" xfId="2" builtinId="17"/>
    <cellStyle name="Input" xfId="3" builtinId="20" customBuiltin="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6"/>
          <c:tx>
            <c:strRef>
              <c:f>Analyses!$B$12</c:f>
              <c:strCache>
                <c:ptCount val="1"/>
                <c:pt idx="0">
                  <c:v>First dose administered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Analyses!$C$8:$P$8</c:f>
              <c:strCache>
                <c:ptCount val="14"/>
                <c:pt idx="0">
                  <c:v>28/12</c:v>
                </c:pt>
                <c:pt idx="1">
                  <c:v>4/1</c:v>
                </c:pt>
                <c:pt idx="2">
                  <c:v>11/1</c:v>
                </c:pt>
                <c:pt idx="3">
                  <c:v>18/1</c:v>
                </c:pt>
                <c:pt idx="4">
                  <c:v>25/1</c:v>
                </c:pt>
                <c:pt idx="5">
                  <c:v>1/2</c:v>
                </c:pt>
                <c:pt idx="6">
                  <c:v>8/2</c:v>
                </c:pt>
                <c:pt idx="7">
                  <c:v>15/2</c:v>
                </c:pt>
                <c:pt idx="8">
                  <c:v>22/2</c:v>
                </c:pt>
                <c:pt idx="9">
                  <c:v>1/3</c:v>
                </c:pt>
                <c:pt idx="10">
                  <c:v>8/3</c:v>
                </c:pt>
                <c:pt idx="11">
                  <c:v>15/3</c:v>
                </c:pt>
                <c:pt idx="12">
                  <c:v>22/3</c:v>
                </c:pt>
                <c:pt idx="13">
                  <c:v>29/3</c:v>
                </c:pt>
              </c:strCache>
            </c:strRef>
          </c:cat>
          <c:val>
            <c:numRef>
              <c:f>Analyses!$C$12:$P$12</c:f>
              <c:numCache>
                <c:formatCode>#,##0</c:formatCode>
                <c:ptCount val="14"/>
                <c:pt idx="0">
                  <c:v>778</c:v>
                </c:pt>
                <c:pt idx="1">
                  <c:v>24726</c:v>
                </c:pt>
                <c:pt idx="2">
                  <c:v>71021</c:v>
                </c:pt>
                <c:pt idx="3">
                  <c:v>125000</c:v>
                </c:pt>
                <c:pt idx="4">
                  <c:v>54300</c:v>
                </c:pt>
                <c:pt idx="5">
                  <c:v>54300</c:v>
                </c:pt>
                <c:pt idx="6">
                  <c:v>54300</c:v>
                </c:pt>
                <c:pt idx="7">
                  <c:v>54300</c:v>
                </c:pt>
                <c:pt idx="8">
                  <c:v>54300</c:v>
                </c:pt>
                <c:pt idx="9">
                  <c:v>54300</c:v>
                </c:pt>
                <c:pt idx="10">
                  <c:v>54300</c:v>
                </c:pt>
                <c:pt idx="11">
                  <c:v>54300</c:v>
                </c:pt>
                <c:pt idx="12">
                  <c:v>54300</c:v>
                </c:pt>
                <c:pt idx="13">
                  <c:v>54300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57-4802-A39C-C5460BA4626C}"/>
            </c:ext>
          </c:extLst>
        </c:ser>
        <c:ser>
          <c:idx val="4"/>
          <c:order val="7"/>
          <c:tx>
            <c:strRef>
              <c:f>Analyses!$B$13</c:f>
              <c:strCache>
                <c:ptCount val="1"/>
                <c:pt idx="0">
                  <c:v>Second dose required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Analyses!$C$8:$P$8</c:f>
              <c:strCache>
                <c:ptCount val="14"/>
                <c:pt idx="0">
                  <c:v>28/12</c:v>
                </c:pt>
                <c:pt idx="1">
                  <c:v>4/1</c:v>
                </c:pt>
                <c:pt idx="2">
                  <c:v>11/1</c:v>
                </c:pt>
                <c:pt idx="3">
                  <c:v>18/1</c:v>
                </c:pt>
                <c:pt idx="4">
                  <c:v>25/1</c:v>
                </c:pt>
                <c:pt idx="5">
                  <c:v>1/2</c:v>
                </c:pt>
                <c:pt idx="6">
                  <c:v>8/2</c:v>
                </c:pt>
                <c:pt idx="7">
                  <c:v>15/2</c:v>
                </c:pt>
                <c:pt idx="8">
                  <c:v>22/2</c:v>
                </c:pt>
                <c:pt idx="9">
                  <c:v>1/3</c:v>
                </c:pt>
                <c:pt idx="10">
                  <c:v>8/3</c:v>
                </c:pt>
                <c:pt idx="11">
                  <c:v>15/3</c:v>
                </c:pt>
                <c:pt idx="12">
                  <c:v>22/3</c:v>
                </c:pt>
                <c:pt idx="13">
                  <c:v>29/3</c:v>
                </c:pt>
              </c:strCache>
            </c:strRef>
          </c:cat>
          <c:val>
            <c:numRef>
              <c:f>Analyses!$C$13:$P$13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778</c:v>
                </c:pt>
                <c:pt idx="4">
                  <c:v>24726</c:v>
                </c:pt>
                <c:pt idx="5">
                  <c:v>71021</c:v>
                </c:pt>
                <c:pt idx="6">
                  <c:v>125000</c:v>
                </c:pt>
                <c:pt idx="7">
                  <c:v>54300</c:v>
                </c:pt>
                <c:pt idx="8">
                  <c:v>54300</c:v>
                </c:pt>
                <c:pt idx="9">
                  <c:v>54300</c:v>
                </c:pt>
                <c:pt idx="10">
                  <c:v>54300</c:v>
                </c:pt>
                <c:pt idx="11">
                  <c:v>54300</c:v>
                </c:pt>
                <c:pt idx="12">
                  <c:v>54300</c:v>
                </c:pt>
                <c:pt idx="13">
                  <c:v>54300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57-4802-A39C-C5460BA4626C}"/>
            </c:ext>
          </c:extLst>
        </c:ser>
        <c:ser>
          <c:idx val="6"/>
          <c:order val="8"/>
          <c:tx>
            <c:strRef>
              <c:f>Analyses!$B$15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Analyses!$C$8:$P$8</c:f>
              <c:strCache>
                <c:ptCount val="14"/>
                <c:pt idx="0">
                  <c:v>28/12</c:v>
                </c:pt>
                <c:pt idx="1">
                  <c:v>4/1</c:v>
                </c:pt>
                <c:pt idx="2">
                  <c:v>11/1</c:v>
                </c:pt>
                <c:pt idx="3">
                  <c:v>18/1</c:v>
                </c:pt>
                <c:pt idx="4">
                  <c:v>25/1</c:v>
                </c:pt>
                <c:pt idx="5">
                  <c:v>1/2</c:v>
                </c:pt>
                <c:pt idx="6">
                  <c:v>8/2</c:v>
                </c:pt>
                <c:pt idx="7">
                  <c:v>15/2</c:v>
                </c:pt>
                <c:pt idx="8">
                  <c:v>22/2</c:v>
                </c:pt>
                <c:pt idx="9">
                  <c:v>1/3</c:v>
                </c:pt>
                <c:pt idx="10">
                  <c:v>8/3</c:v>
                </c:pt>
                <c:pt idx="11">
                  <c:v>15/3</c:v>
                </c:pt>
                <c:pt idx="12">
                  <c:v>22/3</c:v>
                </c:pt>
                <c:pt idx="13">
                  <c:v>29/3</c:v>
                </c:pt>
              </c:strCache>
            </c:strRef>
          </c:cat>
          <c:val>
            <c:numRef>
              <c:f>Analyses!$C$15:$P$15</c:f>
              <c:numCache>
                <c:formatCode>#,##0</c:formatCode>
                <c:ptCount val="14"/>
                <c:pt idx="1">
                  <c:v>494.52000000000004</c:v>
                </c:pt>
                <c:pt idx="2">
                  <c:v>1420.42</c:v>
                </c:pt>
                <c:pt idx="3">
                  <c:v>2515.56</c:v>
                </c:pt>
                <c:pt idx="4">
                  <c:v>1580.52</c:v>
                </c:pt>
                <c:pt idx="5">
                  <c:v>2506.42</c:v>
                </c:pt>
                <c:pt idx="6">
                  <c:v>3586</c:v>
                </c:pt>
                <c:pt idx="7">
                  <c:v>2172</c:v>
                </c:pt>
                <c:pt idx="8">
                  <c:v>2172</c:v>
                </c:pt>
                <c:pt idx="9">
                  <c:v>2172</c:v>
                </c:pt>
                <c:pt idx="10">
                  <c:v>2172</c:v>
                </c:pt>
                <c:pt idx="11">
                  <c:v>2172</c:v>
                </c:pt>
                <c:pt idx="12">
                  <c:v>2172</c:v>
                </c:pt>
                <c:pt idx="13">
                  <c:v>2172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657-4802-A39C-C5460BA46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-521262048"/>
        <c:axId val="-52125932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Analyses!$B$9</c15:sqref>
                        </c15:formulaRef>
                      </c:ext>
                    </c:extLst>
                    <c:strCache>
                      <c:ptCount val="1"/>
                      <c:pt idx="0">
                        <c:v>Theoretically delivered doses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Analyses!$C$8:$P$8</c15:sqref>
                        </c15:formulaRef>
                      </c:ext>
                    </c:extLst>
                    <c:strCache>
                      <c:ptCount val="14"/>
                      <c:pt idx="0">
                        <c:v>28/12</c:v>
                      </c:pt>
                      <c:pt idx="1">
                        <c:v>4/1</c:v>
                      </c:pt>
                      <c:pt idx="2">
                        <c:v>11/1</c:v>
                      </c:pt>
                      <c:pt idx="3">
                        <c:v>18/1</c:v>
                      </c:pt>
                      <c:pt idx="4">
                        <c:v>25/1</c:v>
                      </c:pt>
                      <c:pt idx="5">
                        <c:v>1/2</c:v>
                      </c:pt>
                      <c:pt idx="6">
                        <c:v>8/2</c:v>
                      </c:pt>
                      <c:pt idx="7">
                        <c:v>15/2</c:v>
                      </c:pt>
                      <c:pt idx="8">
                        <c:v>22/2</c:v>
                      </c:pt>
                      <c:pt idx="9">
                        <c:v>1/3</c:v>
                      </c:pt>
                      <c:pt idx="10">
                        <c:v>8/3</c:v>
                      </c:pt>
                      <c:pt idx="11">
                        <c:v>15/3</c:v>
                      </c:pt>
                      <c:pt idx="12">
                        <c:v>22/3</c:v>
                      </c:pt>
                      <c:pt idx="13">
                        <c:v>29/3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Analyses!$C$9:$P$9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9750</c:v>
                      </c:pt>
                      <c:pt idx="1">
                        <c:v>162825</c:v>
                      </c:pt>
                      <c:pt idx="2">
                        <c:v>89700</c:v>
                      </c:pt>
                      <c:pt idx="3">
                        <c:v>86580</c:v>
                      </c:pt>
                      <c:pt idx="4">
                        <c:v>78390</c:v>
                      </c:pt>
                      <c:pt idx="5">
                        <c:v>97110</c:v>
                      </c:pt>
                      <c:pt idx="6">
                        <c:v>98280</c:v>
                      </c:pt>
                      <c:pt idx="7">
                        <c:v>115830</c:v>
                      </c:pt>
                      <c:pt idx="8">
                        <c:v>121680</c:v>
                      </c:pt>
                      <c:pt idx="9">
                        <c:v>104130</c:v>
                      </c:pt>
                      <c:pt idx="10">
                        <c:v>112320</c:v>
                      </c:pt>
                      <c:pt idx="11">
                        <c:v>112320</c:v>
                      </c:pt>
                      <c:pt idx="12">
                        <c:v>112320</c:v>
                      </c:pt>
                      <c:pt idx="13">
                        <c:v>112320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C657-4802-A39C-C5460BA4626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Analyses!$B$11</c15:sqref>
                        </c15:formulaRef>
                      </c:ext>
                    </c:extLst>
                    <c:strCache>
                      <c:ptCount val="1"/>
                      <c:pt idx="0">
                        <c:v>Total administered per week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Analyses!$C$8:$P$8</c15:sqref>
                        </c15:formulaRef>
                      </c:ext>
                    </c:extLst>
                    <c:strCache>
                      <c:ptCount val="14"/>
                      <c:pt idx="0">
                        <c:v>28/12</c:v>
                      </c:pt>
                      <c:pt idx="1">
                        <c:v>4/1</c:v>
                      </c:pt>
                      <c:pt idx="2">
                        <c:v>11/1</c:v>
                      </c:pt>
                      <c:pt idx="3">
                        <c:v>18/1</c:v>
                      </c:pt>
                      <c:pt idx="4">
                        <c:v>25/1</c:v>
                      </c:pt>
                      <c:pt idx="5">
                        <c:v>1/2</c:v>
                      </c:pt>
                      <c:pt idx="6">
                        <c:v>8/2</c:v>
                      </c:pt>
                      <c:pt idx="7">
                        <c:v>15/2</c:v>
                      </c:pt>
                      <c:pt idx="8">
                        <c:v>22/2</c:v>
                      </c:pt>
                      <c:pt idx="9">
                        <c:v>1/3</c:v>
                      </c:pt>
                      <c:pt idx="10">
                        <c:v>8/3</c:v>
                      </c:pt>
                      <c:pt idx="11">
                        <c:v>15/3</c:v>
                      </c:pt>
                      <c:pt idx="12">
                        <c:v>22/3</c:v>
                      </c:pt>
                      <c:pt idx="13">
                        <c:v>29/3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Analyses!$C$11:$P$11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778</c:v>
                      </c:pt>
                      <c:pt idx="1">
                        <c:v>24726</c:v>
                      </c:pt>
                      <c:pt idx="2">
                        <c:v>71021</c:v>
                      </c:pt>
                      <c:pt idx="3">
                        <c:v>125778</c:v>
                      </c:pt>
                      <c:pt idx="4">
                        <c:v>79026</c:v>
                      </c:pt>
                      <c:pt idx="5">
                        <c:v>125321</c:v>
                      </c:pt>
                      <c:pt idx="6">
                        <c:v>179300</c:v>
                      </c:pt>
                      <c:pt idx="7">
                        <c:v>108600</c:v>
                      </c:pt>
                      <c:pt idx="8">
                        <c:v>108600</c:v>
                      </c:pt>
                      <c:pt idx="9">
                        <c:v>108600</c:v>
                      </c:pt>
                      <c:pt idx="10">
                        <c:v>108600</c:v>
                      </c:pt>
                      <c:pt idx="11">
                        <c:v>108600</c:v>
                      </c:pt>
                      <c:pt idx="12">
                        <c:v>108600</c:v>
                      </c:pt>
                      <c:pt idx="13">
                        <c:v>108600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C657-4802-A39C-C5460BA4626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Analyses!$B$10</c:f>
              <c:strCache>
                <c:ptCount val="1"/>
                <c:pt idx="0">
                  <c:v>Effectively estimated delivered doses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Analyses!$C$8:$P$8</c:f>
              <c:strCache>
                <c:ptCount val="14"/>
                <c:pt idx="0">
                  <c:v>28/12</c:v>
                </c:pt>
                <c:pt idx="1">
                  <c:v>4/1</c:v>
                </c:pt>
                <c:pt idx="2">
                  <c:v>11/1</c:v>
                </c:pt>
                <c:pt idx="3">
                  <c:v>18/1</c:v>
                </c:pt>
                <c:pt idx="4">
                  <c:v>25/1</c:v>
                </c:pt>
                <c:pt idx="5">
                  <c:v>1/2</c:v>
                </c:pt>
                <c:pt idx="6">
                  <c:v>8/2</c:v>
                </c:pt>
                <c:pt idx="7">
                  <c:v>15/2</c:v>
                </c:pt>
                <c:pt idx="8">
                  <c:v>22/2</c:v>
                </c:pt>
                <c:pt idx="9">
                  <c:v>1/3</c:v>
                </c:pt>
                <c:pt idx="10">
                  <c:v>8/3</c:v>
                </c:pt>
                <c:pt idx="11">
                  <c:v>15/3</c:v>
                </c:pt>
                <c:pt idx="12">
                  <c:v>22/3</c:v>
                </c:pt>
                <c:pt idx="13">
                  <c:v>29/3</c:v>
                </c:pt>
              </c:strCache>
            </c:strRef>
          </c:cat>
          <c:val>
            <c:numRef>
              <c:f>Analyses!$C$10:$P$10</c:f>
              <c:numCache>
                <c:formatCode>#,##0</c:formatCode>
                <c:ptCount val="14"/>
                <c:pt idx="0">
                  <c:v>10725</c:v>
                </c:pt>
                <c:pt idx="1">
                  <c:v>179107.5</c:v>
                </c:pt>
                <c:pt idx="2">
                  <c:v>107640</c:v>
                </c:pt>
                <c:pt idx="3">
                  <c:v>86580</c:v>
                </c:pt>
                <c:pt idx="4">
                  <c:v>78390</c:v>
                </c:pt>
                <c:pt idx="5">
                  <c:v>97110</c:v>
                </c:pt>
                <c:pt idx="6">
                  <c:v>98280</c:v>
                </c:pt>
                <c:pt idx="7">
                  <c:v>115830</c:v>
                </c:pt>
                <c:pt idx="8">
                  <c:v>121680</c:v>
                </c:pt>
                <c:pt idx="9">
                  <c:v>104130</c:v>
                </c:pt>
                <c:pt idx="10">
                  <c:v>112320</c:v>
                </c:pt>
                <c:pt idx="11">
                  <c:v>112320</c:v>
                </c:pt>
                <c:pt idx="12">
                  <c:v>112320</c:v>
                </c:pt>
                <c:pt idx="13">
                  <c:v>112320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57-4802-A39C-C5460BA4626C}"/>
            </c:ext>
          </c:extLst>
        </c:ser>
        <c:ser>
          <c:idx val="7"/>
          <c:order val="4"/>
          <c:tx>
            <c:strRef>
              <c:f>Analyses!$B$16</c:f>
              <c:strCache>
                <c:ptCount val="1"/>
                <c:pt idx="0">
                  <c:v>Strategic stock accumulated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Analyses!$C$8:$P$8</c:f>
              <c:strCache>
                <c:ptCount val="14"/>
                <c:pt idx="0">
                  <c:v>28/12</c:v>
                </c:pt>
                <c:pt idx="1">
                  <c:v>4/1</c:v>
                </c:pt>
                <c:pt idx="2">
                  <c:v>11/1</c:v>
                </c:pt>
                <c:pt idx="3">
                  <c:v>18/1</c:v>
                </c:pt>
                <c:pt idx="4">
                  <c:v>25/1</c:v>
                </c:pt>
                <c:pt idx="5">
                  <c:v>1/2</c:v>
                </c:pt>
                <c:pt idx="6">
                  <c:v>8/2</c:v>
                </c:pt>
                <c:pt idx="7">
                  <c:v>15/2</c:v>
                </c:pt>
                <c:pt idx="8">
                  <c:v>22/2</c:v>
                </c:pt>
                <c:pt idx="9">
                  <c:v>1/3</c:v>
                </c:pt>
                <c:pt idx="10">
                  <c:v>8/3</c:v>
                </c:pt>
                <c:pt idx="11">
                  <c:v>15/3</c:v>
                </c:pt>
                <c:pt idx="12">
                  <c:v>22/3</c:v>
                </c:pt>
                <c:pt idx="13">
                  <c:v>29/3</c:v>
                </c:pt>
              </c:strCache>
            </c:strRef>
          </c:cat>
          <c:val>
            <c:numRef>
              <c:f>Analyses!$C$16:$P$16</c:f>
              <c:numCache>
                <c:formatCode>#,##0</c:formatCode>
                <c:ptCount val="14"/>
                <c:pt idx="0">
                  <c:v>0</c:v>
                </c:pt>
                <c:pt idx="1">
                  <c:v>8775</c:v>
                </c:pt>
                <c:pt idx="2">
                  <c:v>7800</c:v>
                </c:pt>
                <c:pt idx="3">
                  <c:v>780</c:v>
                </c:pt>
                <c:pt idx="4">
                  <c:v>6630</c:v>
                </c:pt>
                <c:pt idx="5">
                  <c:v>7800</c:v>
                </c:pt>
                <c:pt idx="6">
                  <c:v>7800</c:v>
                </c:pt>
                <c:pt idx="7">
                  <c:v>7800</c:v>
                </c:pt>
                <c:pt idx="8">
                  <c:v>16318</c:v>
                </c:pt>
                <c:pt idx="9">
                  <c:v>23608</c:v>
                </c:pt>
                <c:pt idx="10">
                  <c:v>31471</c:v>
                </c:pt>
                <c:pt idx="11">
                  <c:v>39334</c:v>
                </c:pt>
                <c:pt idx="12">
                  <c:v>47197</c:v>
                </c:pt>
                <c:pt idx="13">
                  <c:v>55060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657-4802-A39C-C5460BA4626C}"/>
            </c:ext>
          </c:extLst>
        </c:ser>
        <c:ser>
          <c:idx val="8"/>
          <c:order val="5"/>
          <c:tx>
            <c:strRef>
              <c:f>Analyses!$B$17</c:f>
              <c:strCache>
                <c:ptCount val="1"/>
                <c:pt idx="0">
                  <c:v>Remaining doses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Analyses!$C$8:$P$8</c:f>
              <c:strCache>
                <c:ptCount val="14"/>
                <c:pt idx="0">
                  <c:v>28/12</c:v>
                </c:pt>
                <c:pt idx="1">
                  <c:v>4/1</c:v>
                </c:pt>
                <c:pt idx="2">
                  <c:v>11/1</c:v>
                </c:pt>
                <c:pt idx="3">
                  <c:v>18/1</c:v>
                </c:pt>
                <c:pt idx="4">
                  <c:v>25/1</c:v>
                </c:pt>
                <c:pt idx="5">
                  <c:v>1/2</c:v>
                </c:pt>
                <c:pt idx="6">
                  <c:v>8/2</c:v>
                </c:pt>
                <c:pt idx="7">
                  <c:v>15/2</c:v>
                </c:pt>
                <c:pt idx="8">
                  <c:v>22/2</c:v>
                </c:pt>
                <c:pt idx="9">
                  <c:v>1/3</c:v>
                </c:pt>
                <c:pt idx="10">
                  <c:v>8/3</c:v>
                </c:pt>
                <c:pt idx="11">
                  <c:v>15/3</c:v>
                </c:pt>
                <c:pt idx="12">
                  <c:v>22/3</c:v>
                </c:pt>
                <c:pt idx="13">
                  <c:v>29/3</c:v>
                </c:pt>
              </c:strCache>
            </c:strRef>
          </c:cat>
          <c:val>
            <c:numRef>
              <c:f>Analyses!$C$17:$P$17</c:f>
              <c:numCache>
                <c:formatCode>#,##0</c:formatCode>
                <c:ptCount val="14"/>
                <c:pt idx="0">
                  <c:v>9947</c:v>
                </c:pt>
                <c:pt idx="1">
                  <c:v>155058.98000000001</c:v>
                </c:pt>
                <c:pt idx="2">
                  <c:v>191232.55999999997</c:v>
                </c:pt>
                <c:pt idx="3">
                  <c:v>156538.99999999994</c:v>
                </c:pt>
                <c:pt idx="4">
                  <c:v>148472.47999999995</c:v>
                </c:pt>
                <c:pt idx="5">
                  <c:v>116585.05999999995</c:v>
                </c:pt>
                <c:pt idx="6">
                  <c:v>31979.059999999939</c:v>
                </c:pt>
                <c:pt idx="7">
                  <c:v>37037.059999999939</c:v>
                </c:pt>
                <c:pt idx="8">
                  <c:v>39427.059999999939</c:v>
                </c:pt>
                <c:pt idx="9">
                  <c:v>25495.059999999939</c:v>
                </c:pt>
                <c:pt idx="10">
                  <c:v>19180.059999999939</c:v>
                </c:pt>
                <c:pt idx="11">
                  <c:v>12865.059999999939</c:v>
                </c:pt>
                <c:pt idx="12">
                  <c:v>6550.0599999999395</c:v>
                </c:pt>
                <c:pt idx="13">
                  <c:v>235.05999999993946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C657-4802-A39C-C5460BA46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21262048"/>
        <c:axId val="-52125932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3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Analyses!$B$14</c15:sqref>
                        </c15:formulaRef>
                      </c:ext>
                    </c:extLst>
                    <c:strCache>
                      <c:ptCount val="1"/>
                      <c:pt idx="0">
                        <c:v>Weekly strategic stock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Analyses!$C$8:$P$8</c15:sqref>
                        </c15:formulaRef>
                      </c:ext>
                    </c:extLst>
                    <c:strCache>
                      <c:ptCount val="14"/>
                      <c:pt idx="0">
                        <c:v>28/12</c:v>
                      </c:pt>
                      <c:pt idx="1">
                        <c:v>4/1</c:v>
                      </c:pt>
                      <c:pt idx="2">
                        <c:v>11/1</c:v>
                      </c:pt>
                      <c:pt idx="3">
                        <c:v>18/1</c:v>
                      </c:pt>
                      <c:pt idx="4">
                        <c:v>25/1</c:v>
                      </c:pt>
                      <c:pt idx="5">
                        <c:v>1/2</c:v>
                      </c:pt>
                      <c:pt idx="6">
                        <c:v>8/2</c:v>
                      </c:pt>
                      <c:pt idx="7">
                        <c:v>15/2</c:v>
                      </c:pt>
                      <c:pt idx="8">
                        <c:v>22/2</c:v>
                      </c:pt>
                      <c:pt idx="9">
                        <c:v>1/3</c:v>
                      </c:pt>
                      <c:pt idx="10">
                        <c:v>8/3</c:v>
                      </c:pt>
                      <c:pt idx="11">
                        <c:v>15/3</c:v>
                      </c:pt>
                      <c:pt idx="12">
                        <c:v>22/3</c:v>
                      </c:pt>
                      <c:pt idx="13">
                        <c:v>29/3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Analyses!$C$14:$P$14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0</c:v>
                      </c:pt>
                      <c:pt idx="1">
                        <c:v>8775</c:v>
                      </c:pt>
                      <c:pt idx="2">
                        <c:v>-975</c:v>
                      </c:pt>
                      <c:pt idx="3">
                        <c:v>-7020</c:v>
                      </c:pt>
                      <c:pt idx="4">
                        <c:v>5850</c:v>
                      </c:pt>
                      <c:pt idx="5">
                        <c:v>1170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8518</c:v>
                      </c:pt>
                      <c:pt idx="9">
                        <c:v>7290</c:v>
                      </c:pt>
                      <c:pt idx="10">
                        <c:v>7863</c:v>
                      </c:pt>
                      <c:pt idx="11">
                        <c:v>7863</c:v>
                      </c:pt>
                      <c:pt idx="12">
                        <c:v>7863</c:v>
                      </c:pt>
                      <c:pt idx="13">
                        <c:v>7863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5-C657-4802-A39C-C5460BA4626C}"/>
                  </c:ext>
                </c:extLst>
              </c15:ser>
            </c15:filteredLineSeries>
          </c:ext>
        </c:extLst>
      </c:lineChart>
      <c:catAx>
        <c:axId val="-52126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21259328"/>
        <c:crosses val="autoZero"/>
        <c:auto val="1"/>
        <c:lblAlgn val="ctr"/>
        <c:lblOffset val="100"/>
        <c:noMultiLvlLbl val="0"/>
      </c:catAx>
      <c:valAx>
        <c:axId val="-52125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2126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168850</xdr:colOff>
      <xdr:row>5</xdr:row>
      <xdr:rowOff>207818</xdr:rowOff>
    </xdr:from>
    <xdr:to>
      <xdr:col>29</xdr:col>
      <xdr:colOff>424294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32DBFF9-BCCA-4628-AE08-4E0B58D92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129886</xdr:colOff>
      <xdr:row>0</xdr:row>
      <xdr:rowOff>121228</xdr:rowOff>
    </xdr:from>
    <xdr:to>
      <xdr:col>11</xdr:col>
      <xdr:colOff>615661</xdr:colOff>
      <xdr:row>3</xdr:row>
      <xdr:rowOff>6928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9445162-C0C4-4BD8-9B03-A8850E95230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2772" y="121228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19</xdr:col>
      <xdr:colOff>294409</xdr:colOff>
      <xdr:row>4</xdr:row>
      <xdr:rowOff>51954</xdr:rowOff>
    </xdr:from>
    <xdr:to>
      <xdr:col>22</xdr:col>
      <xdr:colOff>471488</xdr:colOff>
      <xdr:row>8</xdr:row>
      <xdr:rowOff>40509</xdr:rowOff>
    </xdr:to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xmlns="" id="{538BE39C-5469-4D68-8C62-E1F76B777653}"/>
            </a:ext>
          </a:extLst>
        </xdr:cNvPr>
        <xdr:cNvSpPr/>
      </xdr:nvSpPr>
      <xdr:spPr bwMode="gray">
        <a:xfrm>
          <a:off x="14590568" y="813954"/>
          <a:ext cx="1995488" cy="837146"/>
        </a:xfrm>
        <a:prstGeom prst="wedgeRectCallout">
          <a:avLst>
            <a:gd name="adj1" fmla="val -43433"/>
            <a:gd name="adj2" fmla="val 97792"/>
          </a:avLst>
        </a:prstGeom>
        <a:solidFill>
          <a:schemeClr val="tx2">
            <a:lumMod val="90000"/>
          </a:schemeClr>
        </a:solidFill>
        <a:ln w="19050" algn="ctr">
          <a:noFill/>
          <a:miter lim="800000"/>
          <a:headEnd/>
          <a:tailEnd/>
        </a:ln>
      </xdr:spPr>
      <xdr:txBody>
        <a:bodyPr wrap="square" lIns="88900" tIns="88900" rIns="88900" bIns="8890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itchFamily="18" charset="2"/>
            <a:buNone/>
          </a:pPr>
          <a:r>
            <a:rPr lang="nl-BE" sz="1400">
              <a:solidFill>
                <a:schemeClr val="bg2"/>
              </a:solidFill>
              <a:latin typeface="+mj-lt"/>
            </a:rPr>
            <a:t>Required temporary stock accumulation</a:t>
          </a:r>
        </a:p>
      </xdr:txBody>
    </xdr:sp>
    <xdr:clientData/>
  </xdr:twoCellAnchor>
  <xdr:twoCellAnchor>
    <xdr:from>
      <xdr:col>23</xdr:col>
      <xdr:colOff>32902</xdr:colOff>
      <xdr:row>4</xdr:row>
      <xdr:rowOff>51955</xdr:rowOff>
    </xdr:from>
    <xdr:to>
      <xdr:col>26</xdr:col>
      <xdr:colOff>457529</xdr:colOff>
      <xdr:row>8</xdr:row>
      <xdr:rowOff>40510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xmlns="" id="{B45AF0D6-EB71-4489-BE57-B67AFD6B706C}"/>
            </a:ext>
          </a:extLst>
        </xdr:cNvPr>
        <xdr:cNvSpPr/>
      </xdr:nvSpPr>
      <xdr:spPr bwMode="gray">
        <a:xfrm>
          <a:off x="16753607" y="813955"/>
          <a:ext cx="2243036" cy="837146"/>
        </a:xfrm>
        <a:prstGeom prst="wedgeRectCallout">
          <a:avLst>
            <a:gd name="adj1" fmla="val -57502"/>
            <a:gd name="adj2" fmla="val 128343"/>
          </a:avLst>
        </a:prstGeom>
        <a:solidFill>
          <a:schemeClr val="tx2">
            <a:lumMod val="90000"/>
          </a:schemeClr>
        </a:solidFill>
        <a:ln w="19050" algn="ctr">
          <a:noFill/>
          <a:miter lim="800000"/>
          <a:headEnd/>
          <a:tailEnd/>
        </a:ln>
      </xdr:spPr>
      <xdr:txBody>
        <a:bodyPr wrap="square" lIns="88900" tIns="88900" rIns="88900" bIns="8890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itchFamily="18" charset="2"/>
            <a:buNone/>
          </a:pPr>
          <a:r>
            <a:rPr lang="nl-BE" sz="1400">
              <a:solidFill>
                <a:schemeClr val="bg2"/>
              </a:solidFill>
              <a:latin typeface="+mj-lt"/>
            </a:rPr>
            <a:t>Peak in second dose due to acceleration in week 18/1 and exceeds supply by far </a:t>
          </a:r>
        </a:p>
      </xdr:txBody>
    </xdr:sp>
    <xdr:clientData/>
  </xdr:twoCellAnchor>
  <xdr:twoCellAnchor>
    <xdr:from>
      <xdr:col>25</xdr:col>
      <xdr:colOff>177257</xdr:colOff>
      <xdr:row>9</xdr:row>
      <xdr:rowOff>27114</xdr:rowOff>
    </xdr:from>
    <xdr:to>
      <xdr:col>28</xdr:col>
      <xdr:colOff>168197</xdr:colOff>
      <xdr:row>11</xdr:row>
      <xdr:rowOff>57827</xdr:rowOff>
    </xdr:to>
    <xdr:sp macro="" textlink="">
      <xdr:nvSpPr>
        <xdr:cNvPr id="7" name="Speech Bubble: Rectangle 6">
          <a:extLst>
            <a:ext uri="{FF2B5EF4-FFF2-40B4-BE49-F238E27FC236}">
              <a16:creationId xmlns:a16="http://schemas.microsoft.com/office/drawing/2014/main" xmlns="" id="{A6940A83-E007-4358-B8DC-E656D285E145}"/>
            </a:ext>
          </a:extLst>
        </xdr:cNvPr>
        <xdr:cNvSpPr/>
      </xdr:nvSpPr>
      <xdr:spPr bwMode="gray">
        <a:xfrm>
          <a:off x="18110234" y="1828205"/>
          <a:ext cx="1809349" cy="420372"/>
        </a:xfrm>
        <a:prstGeom prst="wedgeRectCallout">
          <a:avLst>
            <a:gd name="adj1" fmla="val 75554"/>
            <a:gd name="adj2" fmla="val 159934"/>
          </a:avLst>
        </a:prstGeom>
        <a:solidFill>
          <a:schemeClr val="tx2">
            <a:lumMod val="90000"/>
          </a:schemeClr>
        </a:solidFill>
        <a:ln w="19050" algn="ctr">
          <a:noFill/>
          <a:miter lim="800000"/>
          <a:headEnd/>
          <a:tailEnd/>
        </a:ln>
      </xdr:spPr>
      <xdr:txBody>
        <a:bodyPr wrap="square" lIns="88900" tIns="88900" rIns="88900" bIns="8890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itchFamily="18" charset="2"/>
            <a:buNone/>
          </a:pPr>
          <a:r>
            <a:rPr lang="nl-BE" sz="1400">
              <a:solidFill>
                <a:schemeClr val="bg2"/>
              </a:solidFill>
              <a:latin typeface="+mj-lt"/>
            </a:rPr>
            <a:t>Supply and demand in equilibrium</a:t>
          </a:r>
        </a:p>
      </xdr:txBody>
    </xdr:sp>
    <xdr:clientData/>
  </xdr:twoCellAnchor>
  <xdr:twoCellAnchor>
    <xdr:from>
      <xdr:col>27</xdr:col>
      <xdr:colOff>530470</xdr:colOff>
      <xdr:row>28</xdr:row>
      <xdr:rowOff>11401</xdr:rowOff>
    </xdr:from>
    <xdr:to>
      <xdr:col>30</xdr:col>
      <xdr:colOff>431442</xdr:colOff>
      <xdr:row>30</xdr:row>
      <xdr:rowOff>50773</xdr:rowOff>
    </xdr:to>
    <xdr:sp macro="" textlink="">
      <xdr:nvSpPr>
        <xdr:cNvPr id="8" name="Speech Bubble: Rectangle 7">
          <a:extLst>
            <a:ext uri="{FF2B5EF4-FFF2-40B4-BE49-F238E27FC236}">
              <a16:creationId xmlns:a16="http://schemas.microsoft.com/office/drawing/2014/main" xmlns="" id="{4F43B869-C58E-4193-A8D2-2A1B23E7C398}"/>
            </a:ext>
          </a:extLst>
        </xdr:cNvPr>
        <xdr:cNvSpPr/>
      </xdr:nvSpPr>
      <xdr:spPr bwMode="gray">
        <a:xfrm>
          <a:off x="19675720" y="5544560"/>
          <a:ext cx="1719381" cy="420372"/>
        </a:xfrm>
        <a:prstGeom prst="wedgeRectCallout">
          <a:avLst>
            <a:gd name="adj1" fmla="val -10362"/>
            <a:gd name="adj2" fmla="val -442426"/>
          </a:avLst>
        </a:prstGeom>
        <a:solidFill>
          <a:schemeClr val="tx2">
            <a:lumMod val="90000"/>
          </a:schemeClr>
        </a:solidFill>
        <a:ln w="19050" algn="ctr">
          <a:noFill/>
          <a:miter lim="800000"/>
          <a:headEnd/>
          <a:tailEnd/>
        </a:ln>
      </xdr:spPr>
      <xdr:txBody>
        <a:bodyPr wrap="square" lIns="88900" tIns="88900" rIns="88900" bIns="8890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itchFamily="18" charset="2"/>
            <a:buNone/>
          </a:pPr>
          <a:r>
            <a:rPr lang="nl-BE" sz="1400">
              <a:solidFill>
                <a:schemeClr val="bg2"/>
              </a:solidFill>
              <a:latin typeface="+mj-lt"/>
            </a:rPr>
            <a:t>No vials left in freezer</a:t>
          </a:r>
        </a:p>
      </xdr:txBody>
    </xdr:sp>
    <xdr:clientData/>
  </xdr:twoCellAnchor>
  <xdr:twoCellAnchor>
    <xdr:from>
      <xdr:col>24</xdr:col>
      <xdr:colOff>42657</xdr:colOff>
      <xdr:row>28</xdr:row>
      <xdr:rowOff>2742</xdr:rowOff>
    </xdr:from>
    <xdr:to>
      <xdr:col>27</xdr:col>
      <xdr:colOff>136290</xdr:colOff>
      <xdr:row>30</xdr:row>
      <xdr:rowOff>42114</xdr:rowOff>
    </xdr:to>
    <xdr:sp macro="" textlink="">
      <xdr:nvSpPr>
        <xdr:cNvPr id="9" name="Speech Bubble: Rectangle 8">
          <a:extLst>
            <a:ext uri="{FF2B5EF4-FFF2-40B4-BE49-F238E27FC236}">
              <a16:creationId xmlns:a16="http://schemas.microsoft.com/office/drawing/2014/main" xmlns="" id="{96577F8F-4DA9-4FBF-B96F-63DD72B02BD1}"/>
            </a:ext>
          </a:extLst>
        </xdr:cNvPr>
        <xdr:cNvSpPr/>
      </xdr:nvSpPr>
      <xdr:spPr bwMode="gray">
        <a:xfrm>
          <a:off x="17369498" y="5535901"/>
          <a:ext cx="1912042" cy="420372"/>
        </a:xfrm>
        <a:prstGeom prst="wedgeRectCallout">
          <a:avLst>
            <a:gd name="adj1" fmla="val 107953"/>
            <a:gd name="adj2" fmla="val -571699"/>
          </a:avLst>
        </a:prstGeom>
        <a:solidFill>
          <a:schemeClr val="tx2">
            <a:lumMod val="90000"/>
          </a:schemeClr>
        </a:solidFill>
        <a:ln w="19050" algn="ctr">
          <a:noFill/>
          <a:miter lim="800000"/>
          <a:headEnd/>
          <a:tailEnd/>
        </a:ln>
      </xdr:spPr>
      <xdr:txBody>
        <a:bodyPr wrap="square" lIns="88900" tIns="88900" rIns="88900" bIns="8890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itchFamily="18" charset="2"/>
            <a:buNone/>
          </a:pPr>
          <a:r>
            <a:rPr lang="nl-BE" sz="1400">
              <a:solidFill>
                <a:schemeClr val="bg2"/>
              </a:solidFill>
              <a:latin typeface="+mj-lt"/>
            </a:rPr>
            <a:t>Strategic stock built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7F7F7F"/>
      </a:dk2>
      <a:lt2>
        <a:srgbClr val="F8F8F8"/>
      </a:lt2>
      <a:accent1>
        <a:srgbClr val="E9AF8B"/>
      </a:accent1>
      <a:accent2>
        <a:srgbClr val="7BA79D"/>
      </a:accent2>
      <a:accent3>
        <a:srgbClr val="A8CBCC"/>
      </a:accent3>
      <a:accent4>
        <a:srgbClr val="C6B9AB"/>
      </a:accent4>
      <a:accent5>
        <a:srgbClr val="968C8C"/>
      </a:accent5>
      <a:accent6>
        <a:srgbClr val="7BA79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F9" sqref="F9"/>
    </sheetView>
  </sheetViews>
  <sheetFormatPr defaultRowHeight="14.4" x14ac:dyDescent="0.3"/>
  <cols>
    <col min="1" max="1" width="36.109375" bestFit="1" customWidth="1"/>
  </cols>
  <sheetData>
    <row r="1" spans="1:17" ht="15" thickBot="1" x14ac:dyDescent="0.35">
      <c r="A1" s="2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6" x14ac:dyDescent="0.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 t="s">
        <v>15</v>
      </c>
    </row>
    <row r="3" spans="1:17" ht="15.6" x14ac:dyDescent="0.3">
      <c r="A3" s="12" t="s">
        <v>16</v>
      </c>
      <c r="B3" s="3">
        <v>92</v>
      </c>
      <c r="C3" s="3">
        <v>92</v>
      </c>
      <c r="D3" s="3">
        <v>92</v>
      </c>
      <c r="E3" s="3">
        <v>92</v>
      </c>
      <c r="F3" s="3">
        <v>92</v>
      </c>
      <c r="G3" s="3">
        <v>99</v>
      </c>
      <c r="H3" s="3">
        <v>100</v>
      </c>
      <c r="I3" s="3">
        <v>100</v>
      </c>
      <c r="J3" s="3">
        <v>100</v>
      </c>
      <c r="K3" s="3">
        <v>101</v>
      </c>
      <c r="L3" s="3">
        <v>101</v>
      </c>
      <c r="M3" s="3">
        <v>101</v>
      </c>
      <c r="N3" s="3">
        <v>109</v>
      </c>
      <c r="O3" s="13">
        <v>116</v>
      </c>
    </row>
    <row r="4" spans="1:17" ht="15.6" x14ac:dyDescent="0.3">
      <c r="A4" s="12" t="s">
        <v>17</v>
      </c>
      <c r="B4" s="3">
        <v>89700</v>
      </c>
      <c r="C4" s="3">
        <v>89700</v>
      </c>
      <c r="D4" s="3">
        <v>89700</v>
      </c>
      <c r="E4" s="3">
        <v>89700</v>
      </c>
      <c r="F4" s="3">
        <v>89700</v>
      </c>
      <c r="G4" s="3">
        <v>96525</v>
      </c>
      <c r="H4" s="3">
        <v>97500</v>
      </c>
      <c r="I4" s="3">
        <v>97500</v>
      </c>
      <c r="J4" s="3">
        <v>97500</v>
      </c>
      <c r="K4" s="3">
        <v>98475</v>
      </c>
      <c r="L4" s="3">
        <v>98475</v>
      </c>
      <c r="M4" s="3">
        <v>98475</v>
      </c>
      <c r="N4" s="3">
        <v>106275</v>
      </c>
      <c r="O4" s="13">
        <v>113100</v>
      </c>
    </row>
    <row r="5" spans="1:17" ht="16.2" thickBot="1" x14ac:dyDescent="0.35">
      <c r="A5" s="14" t="s">
        <v>18</v>
      </c>
      <c r="B5" s="15">
        <v>89700</v>
      </c>
      <c r="C5" s="15">
        <v>179400</v>
      </c>
      <c r="D5" s="15">
        <v>269100</v>
      </c>
      <c r="E5" s="15">
        <v>358800</v>
      </c>
      <c r="F5" s="15">
        <v>448500</v>
      </c>
      <c r="G5" s="15">
        <v>545025</v>
      </c>
      <c r="H5" s="15">
        <v>642525</v>
      </c>
      <c r="I5" s="15">
        <v>740025</v>
      </c>
      <c r="J5" s="15">
        <v>837525</v>
      </c>
      <c r="K5" s="15">
        <v>936000</v>
      </c>
      <c r="L5" s="15">
        <v>1034475</v>
      </c>
      <c r="M5" s="15">
        <v>1132950</v>
      </c>
      <c r="N5" s="15">
        <v>1239225</v>
      </c>
      <c r="O5" s="16">
        <v>1352325</v>
      </c>
    </row>
    <row r="7" spans="1:17" ht="16.2" thickBot="1" x14ac:dyDescent="0.35">
      <c r="A7" s="26" t="s">
        <v>19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7" ht="15.6" x14ac:dyDescent="0.3">
      <c r="A8" s="7" t="s">
        <v>1</v>
      </c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8" t="s">
        <v>12</v>
      </c>
      <c r="M8" s="8" t="s">
        <v>13</v>
      </c>
      <c r="N8" s="8" t="s">
        <v>14</v>
      </c>
      <c r="O8" s="9" t="s">
        <v>15</v>
      </c>
    </row>
    <row r="9" spans="1:17" ht="15.6" x14ac:dyDescent="0.3">
      <c r="A9" s="10" t="s">
        <v>16</v>
      </c>
      <c r="B9" s="2">
        <v>92</v>
      </c>
      <c r="C9" s="2">
        <v>92</v>
      </c>
      <c r="D9" s="2">
        <v>92</v>
      </c>
      <c r="E9" s="2">
        <v>74</v>
      </c>
      <c r="F9" s="2">
        <v>62</v>
      </c>
      <c r="G9" s="2">
        <v>83</v>
      </c>
      <c r="H9" s="2">
        <v>84</v>
      </c>
      <c r="I9" s="2">
        <v>99</v>
      </c>
      <c r="J9" s="2">
        <v>104</v>
      </c>
      <c r="K9" s="2">
        <v>89</v>
      </c>
      <c r="L9" s="2">
        <v>96</v>
      </c>
      <c r="M9" s="2">
        <v>96</v>
      </c>
      <c r="N9" s="2">
        <v>96</v>
      </c>
      <c r="O9" s="11">
        <v>96</v>
      </c>
    </row>
    <row r="10" spans="1:17" ht="15.6" x14ac:dyDescent="0.3">
      <c r="A10" s="10" t="s">
        <v>17</v>
      </c>
      <c r="B10" s="4">
        <v>89700</v>
      </c>
      <c r="C10" s="4">
        <v>89700</v>
      </c>
      <c r="D10" s="4">
        <v>89700</v>
      </c>
      <c r="E10" s="17">
        <v>86580</v>
      </c>
      <c r="F10" s="17">
        <v>72540</v>
      </c>
      <c r="G10" s="17">
        <v>97110</v>
      </c>
      <c r="H10" s="17">
        <v>98280</v>
      </c>
      <c r="I10" s="17">
        <v>115830</v>
      </c>
      <c r="J10" s="17">
        <v>121680</v>
      </c>
      <c r="K10" s="17">
        <v>104130</v>
      </c>
      <c r="L10" s="17">
        <v>112320</v>
      </c>
      <c r="M10" s="17">
        <v>112320</v>
      </c>
      <c r="N10" s="17">
        <v>112320</v>
      </c>
      <c r="O10" s="18">
        <v>112320</v>
      </c>
    </row>
    <row r="11" spans="1:17" ht="16.2" thickBot="1" x14ac:dyDescent="0.35">
      <c r="A11" s="19" t="s">
        <v>18</v>
      </c>
      <c r="B11" s="20">
        <v>89700</v>
      </c>
      <c r="C11" s="20">
        <v>179400</v>
      </c>
      <c r="D11" s="20">
        <v>269100</v>
      </c>
      <c r="E11" s="21">
        <v>355680</v>
      </c>
      <c r="F11" s="21">
        <v>428220</v>
      </c>
      <c r="G11" s="21">
        <v>525330</v>
      </c>
      <c r="H11" s="21">
        <v>623610</v>
      </c>
      <c r="I11" s="21">
        <v>739440</v>
      </c>
      <c r="J11" s="21">
        <v>861120</v>
      </c>
      <c r="K11" s="21">
        <v>965250</v>
      </c>
      <c r="L11" s="21">
        <v>1077570</v>
      </c>
      <c r="M11" s="21">
        <v>1189890</v>
      </c>
      <c r="N11" s="21">
        <v>1302210</v>
      </c>
      <c r="O11" s="22">
        <v>1414530</v>
      </c>
    </row>
    <row r="12" spans="1:17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7" ht="16.2" thickBot="1" x14ac:dyDescent="0.35">
      <c r="A13" s="23" t="s">
        <v>20</v>
      </c>
      <c r="B13" s="24">
        <v>0</v>
      </c>
      <c r="C13" s="24">
        <v>0</v>
      </c>
      <c r="D13" s="24">
        <v>0</v>
      </c>
      <c r="E13" s="24">
        <v>-3120</v>
      </c>
      <c r="F13" s="24">
        <v>-17160</v>
      </c>
      <c r="G13" s="24">
        <v>585</v>
      </c>
      <c r="H13" s="24">
        <v>780</v>
      </c>
      <c r="I13" s="24">
        <v>18330</v>
      </c>
      <c r="J13" s="24">
        <v>24180</v>
      </c>
      <c r="K13" s="24">
        <v>5655</v>
      </c>
      <c r="L13" s="24">
        <v>13845</v>
      </c>
      <c r="M13" s="24">
        <v>13845</v>
      </c>
      <c r="N13" s="24">
        <v>6045</v>
      </c>
      <c r="O13" s="25">
        <v>-780</v>
      </c>
    </row>
    <row r="14" spans="1:17" x14ac:dyDescent="0.3">
      <c r="A14" s="1"/>
      <c r="B14" s="1"/>
      <c r="C14" s="1"/>
      <c r="D14" s="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20" spans="3:15" x14ac:dyDescent="0.3"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3:15" x14ac:dyDescent="0.3">
      <c r="E21" s="5"/>
      <c r="H21" s="1"/>
    </row>
    <row r="22" spans="3:15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7" spans="3:15" x14ac:dyDescent="0.3">
      <c r="E27" s="6"/>
    </row>
    <row r="28" spans="3:15" x14ac:dyDescent="0.3">
      <c r="F28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selection activeCell="A9" sqref="A9:XFD9"/>
    </sheetView>
  </sheetViews>
  <sheetFormatPr defaultRowHeight="14.4" x14ac:dyDescent="0.3"/>
  <cols>
    <col min="1" max="1" width="2.6640625" customWidth="1"/>
    <col min="2" max="2" width="37.109375" customWidth="1"/>
  </cols>
  <sheetData>
    <row r="1" spans="2:10" s="28" customFormat="1" x14ac:dyDescent="0.3"/>
    <row r="2" spans="2:10" s="28" customFormat="1" x14ac:dyDescent="0.3">
      <c r="B2" s="30" t="s">
        <v>22</v>
      </c>
    </row>
    <row r="3" spans="2:10" s="28" customFormat="1" x14ac:dyDescent="0.3">
      <c r="B3" s="31" t="s">
        <v>23</v>
      </c>
    </row>
    <row r="4" spans="2:10" s="28" customFormat="1" x14ac:dyDescent="0.3"/>
    <row r="6" spans="2:10" ht="18" thickBot="1" x14ac:dyDescent="0.4">
      <c r="B6" s="29" t="s">
        <v>24</v>
      </c>
      <c r="C6" s="29"/>
      <c r="D6" s="29"/>
      <c r="E6" s="29"/>
      <c r="F6" s="29"/>
      <c r="G6" s="29"/>
      <c r="H6" s="29"/>
      <c r="I6" s="29"/>
      <c r="J6" s="29"/>
    </row>
    <row r="7" spans="2:10" ht="15" thickTop="1" x14ac:dyDescent="0.3"/>
    <row r="8" spans="2:10" x14ac:dyDescent="0.3">
      <c r="B8" t="s">
        <v>25</v>
      </c>
      <c r="D8" s="32">
        <v>7.0000000000000007E-2</v>
      </c>
    </row>
    <row r="9" spans="2:10" x14ac:dyDescent="0.3">
      <c r="B9" t="s">
        <v>30</v>
      </c>
      <c r="D9" s="36">
        <v>0.02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8"/>
  <sheetViews>
    <sheetView showGridLines="0" tabSelected="1" zoomScale="110" zoomScaleNormal="110" workbookViewId="0">
      <selection activeCell="H6" sqref="H6"/>
    </sheetView>
  </sheetViews>
  <sheetFormatPr defaultRowHeight="14.4" x14ac:dyDescent="0.3"/>
  <cols>
    <col min="1" max="1" width="2.6640625" customWidth="1"/>
    <col min="2" max="2" width="36.6640625" customWidth="1"/>
    <col min="3" max="3" width="10.6640625" bestFit="1" customWidth="1"/>
    <col min="4" max="4" width="9.6640625" bestFit="1" customWidth="1"/>
    <col min="5" max="7" width="10.6640625" bestFit="1" customWidth="1"/>
    <col min="8" max="9" width="9.6640625" bestFit="1" customWidth="1"/>
    <col min="10" max="11" width="10.6640625" bestFit="1" customWidth="1"/>
    <col min="12" max="13" width="9.6640625" bestFit="1" customWidth="1"/>
    <col min="14" max="15" width="10.6640625" bestFit="1" customWidth="1"/>
    <col min="16" max="16" width="10.6640625" customWidth="1"/>
    <col min="18" max="18" width="11" bestFit="1" customWidth="1"/>
    <col min="37" max="37" width="18.6640625" bestFit="1" customWidth="1"/>
    <col min="38" max="38" width="2.33203125" customWidth="1"/>
  </cols>
  <sheetData>
    <row r="1" spans="2:33" s="102" customFormat="1" x14ac:dyDescent="0.3"/>
    <row r="2" spans="2:33" s="102" customFormat="1" x14ac:dyDescent="0.3">
      <c r="B2" s="103" t="s">
        <v>65</v>
      </c>
      <c r="M2" s="104" t="s">
        <v>70</v>
      </c>
    </row>
    <row r="3" spans="2:33" s="102" customFormat="1" x14ac:dyDescent="0.3">
      <c r="B3" s="104" t="s">
        <v>73</v>
      </c>
      <c r="M3" s="104" t="s">
        <v>71</v>
      </c>
    </row>
    <row r="4" spans="2:33" s="102" customFormat="1" x14ac:dyDescent="0.3"/>
    <row r="6" spans="2:33" s="1" customFormat="1" ht="20.399999999999999" thickBot="1" x14ac:dyDescent="0.45">
      <c r="B6" s="107" t="s">
        <v>50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2:33" s="1" customFormat="1" ht="15.6" thickTop="1" thickBot="1" x14ac:dyDescent="0.35"/>
    <row r="8" spans="2:33" x14ac:dyDescent="0.3">
      <c r="B8" s="58"/>
      <c r="C8" s="87" t="s">
        <v>32</v>
      </c>
      <c r="D8" s="87" t="s">
        <v>33</v>
      </c>
      <c r="E8" s="87" t="s">
        <v>34</v>
      </c>
      <c r="F8" s="87" t="s">
        <v>35</v>
      </c>
      <c r="G8" s="87" t="s">
        <v>36</v>
      </c>
      <c r="H8" s="87" t="s">
        <v>37</v>
      </c>
      <c r="I8" s="87" t="s">
        <v>38</v>
      </c>
      <c r="J8" s="87" t="s">
        <v>39</v>
      </c>
      <c r="K8" s="87" t="s">
        <v>40</v>
      </c>
      <c r="L8" s="87" t="s">
        <v>41</v>
      </c>
      <c r="M8" s="87" t="s">
        <v>42</v>
      </c>
      <c r="N8" s="87" t="s">
        <v>43</v>
      </c>
      <c r="O8" s="87" t="s">
        <v>44</v>
      </c>
      <c r="P8" s="88" t="s">
        <v>45</v>
      </c>
    </row>
    <row r="9" spans="2:33" x14ac:dyDescent="0.3">
      <c r="B9" s="59" t="s">
        <v>26</v>
      </c>
      <c r="C9" s="67">
        <f>10*195*5</f>
        <v>9750</v>
      </c>
      <c r="D9" s="67">
        <f>167*195*5</f>
        <v>162825</v>
      </c>
      <c r="E9" s="67">
        <f>Deliveries!D$10</f>
        <v>89700</v>
      </c>
      <c r="F9" s="70">
        <f>Deliveries!E$10</f>
        <v>86580</v>
      </c>
      <c r="G9" s="95">
        <f>Deliveries!F$10+(5*195*6)</f>
        <v>78390</v>
      </c>
      <c r="H9" s="50">
        <f>Deliveries!G$10</f>
        <v>97110</v>
      </c>
      <c r="I9" s="50">
        <f>Deliveries!H$10</f>
        <v>98280</v>
      </c>
      <c r="J9" s="73">
        <f>Deliveries!I$10</f>
        <v>115830</v>
      </c>
      <c r="K9" s="54">
        <f>Deliveries!J$10</f>
        <v>121680</v>
      </c>
      <c r="L9" s="54">
        <f>Deliveries!K$10</f>
        <v>104130</v>
      </c>
      <c r="M9" s="54">
        <f>Deliveries!L$10</f>
        <v>112320</v>
      </c>
      <c r="N9" s="54">
        <f>Deliveries!M$10</f>
        <v>112320</v>
      </c>
      <c r="O9" s="54">
        <f>Deliveries!N$10</f>
        <v>112320</v>
      </c>
      <c r="P9" s="60">
        <f>Deliveries!O$10</f>
        <v>112320</v>
      </c>
      <c r="Q9" s="1"/>
    </row>
    <row r="10" spans="2:33" x14ac:dyDescent="0.3">
      <c r="B10" s="61" t="s">
        <v>49</v>
      </c>
      <c r="C10" s="68">
        <f>C9*1.1</f>
        <v>10725</v>
      </c>
      <c r="D10" s="68">
        <f>(D9*1.1)</f>
        <v>179107.5</v>
      </c>
      <c r="E10" s="68">
        <f>Deliveries!D$9*195*6</f>
        <v>107640</v>
      </c>
      <c r="F10" s="71">
        <f t="shared" ref="F10:P10" si="0">F$9</f>
        <v>86580</v>
      </c>
      <c r="G10" s="96">
        <f t="shared" si="0"/>
        <v>78390</v>
      </c>
      <c r="H10" s="51">
        <f t="shared" si="0"/>
        <v>97110</v>
      </c>
      <c r="I10" s="51">
        <f t="shared" si="0"/>
        <v>98280</v>
      </c>
      <c r="J10" s="74">
        <f t="shared" si="0"/>
        <v>115830</v>
      </c>
      <c r="K10" s="55">
        <f t="shared" si="0"/>
        <v>121680</v>
      </c>
      <c r="L10" s="55">
        <f t="shared" si="0"/>
        <v>104130</v>
      </c>
      <c r="M10" s="55">
        <f t="shared" si="0"/>
        <v>112320</v>
      </c>
      <c r="N10" s="55">
        <f t="shared" si="0"/>
        <v>112320</v>
      </c>
      <c r="O10" s="55">
        <f t="shared" si="0"/>
        <v>112320</v>
      </c>
      <c r="P10" s="62">
        <f t="shared" si="0"/>
        <v>112320</v>
      </c>
    </row>
    <row r="11" spans="2:33" s="1" customFormat="1" ht="15" thickBot="1" x14ac:dyDescent="0.35">
      <c r="B11" s="63" t="s">
        <v>31</v>
      </c>
      <c r="C11" s="68">
        <f t="shared" ref="C11:P11" si="1">C12+C13</f>
        <v>778</v>
      </c>
      <c r="D11" s="68">
        <f t="shared" si="1"/>
        <v>24726</v>
      </c>
      <c r="E11" s="68">
        <f t="shared" si="1"/>
        <v>71021</v>
      </c>
      <c r="F11" s="71">
        <f t="shared" si="1"/>
        <v>125778</v>
      </c>
      <c r="G11" s="97">
        <f t="shared" si="1"/>
        <v>79026</v>
      </c>
      <c r="H11" s="52">
        <f t="shared" si="1"/>
        <v>125321</v>
      </c>
      <c r="I11" s="52">
        <f t="shared" si="1"/>
        <v>179300</v>
      </c>
      <c r="J11" s="77">
        <f t="shared" si="1"/>
        <v>108600</v>
      </c>
      <c r="K11" s="78">
        <f t="shared" si="1"/>
        <v>108600</v>
      </c>
      <c r="L11" s="78">
        <f t="shared" si="1"/>
        <v>108600</v>
      </c>
      <c r="M11" s="78">
        <f t="shared" si="1"/>
        <v>108600</v>
      </c>
      <c r="N11" s="78">
        <f t="shared" si="1"/>
        <v>108600</v>
      </c>
      <c r="O11" s="78">
        <f t="shared" si="1"/>
        <v>108600</v>
      </c>
      <c r="P11" s="79">
        <f t="shared" si="1"/>
        <v>108600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2:33" ht="15.6" thickTop="1" thickBot="1" x14ac:dyDescent="0.35">
      <c r="B12" s="76" t="s">
        <v>27</v>
      </c>
      <c r="C12" s="68">
        <v>778</v>
      </c>
      <c r="D12" s="68">
        <v>24726</v>
      </c>
      <c r="E12" s="68">
        <v>71021</v>
      </c>
      <c r="F12" s="89">
        <v>125000</v>
      </c>
      <c r="G12" s="98">
        <v>54300</v>
      </c>
      <c r="H12" s="84">
        <v>54300</v>
      </c>
      <c r="I12" s="84">
        <v>54300</v>
      </c>
      <c r="J12" s="85">
        <v>54300</v>
      </c>
      <c r="K12" s="85">
        <v>54300</v>
      </c>
      <c r="L12" s="85">
        <v>54300</v>
      </c>
      <c r="M12" s="85">
        <v>54300</v>
      </c>
      <c r="N12" s="85">
        <v>54300</v>
      </c>
      <c r="O12" s="85">
        <v>54300</v>
      </c>
      <c r="P12" s="86">
        <v>54300</v>
      </c>
    </row>
    <row r="13" spans="2:33" ht="15" thickTop="1" x14ac:dyDescent="0.3">
      <c r="B13" s="76" t="s">
        <v>28</v>
      </c>
      <c r="C13" s="68">
        <v>0</v>
      </c>
      <c r="D13" s="68">
        <v>0</v>
      </c>
      <c r="E13" s="68">
        <v>0</v>
      </c>
      <c r="F13" s="71">
        <f>C12</f>
        <v>778</v>
      </c>
      <c r="G13" s="99">
        <f t="shared" ref="G13:H13" si="2">D12</f>
        <v>24726</v>
      </c>
      <c r="H13" s="80">
        <f t="shared" si="2"/>
        <v>71021</v>
      </c>
      <c r="I13" s="80">
        <f t="shared" ref="I13" si="3">F12</f>
        <v>125000</v>
      </c>
      <c r="J13" s="81">
        <f t="shared" ref="J13" si="4">G12</f>
        <v>54300</v>
      </c>
      <c r="K13" s="82">
        <f>H12</f>
        <v>54300</v>
      </c>
      <c r="L13" s="82">
        <f t="shared" ref="L13" si="5">I12</f>
        <v>54300</v>
      </c>
      <c r="M13" s="82">
        <f t="shared" ref="M13" si="6">J12</f>
        <v>54300</v>
      </c>
      <c r="N13" s="82">
        <f t="shared" ref="N13" si="7">K12</f>
        <v>54300</v>
      </c>
      <c r="O13" s="82">
        <f>L12</f>
        <v>54300</v>
      </c>
      <c r="P13" s="83">
        <f>M12</f>
        <v>54300</v>
      </c>
    </row>
    <row r="14" spans="2:33" s="1" customFormat="1" x14ac:dyDescent="0.3">
      <c r="B14" s="61" t="s">
        <v>25</v>
      </c>
      <c r="C14" s="68">
        <v>0</v>
      </c>
      <c r="D14" s="68">
        <f>9*195*5</f>
        <v>8775</v>
      </c>
      <c r="E14" s="68">
        <f>-1*195*5</f>
        <v>-975</v>
      </c>
      <c r="F14" s="71">
        <f>-6*195*6</f>
        <v>-7020</v>
      </c>
      <c r="G14" s="100">
        <f>5*195*6</f>
        <v>5850</v>
      </c>
      <c r="H14" s="51">
        <f>1*195*6</f>
        <v>1170</v>
      </c>
      <c r="I14" s="51">
        <f>0*195*6</f>
        <v>0</v>
      </c>
      <c r="J14" s="74">
        <v>0</v>
      </c>
      <c r="K14" s="34">
        <f>ROUNDUP(K10*Inputs!$D$8,0)</f>
        <v>8518</v>
      </c>
      <c r="L14" s="34">
        <f>ROUNDUP(L10*Inputs!$D$8,0)</f>
        <v>7290</v>
      </c>
      <c r="M14" s="34">
        <f>ROUNDUP(M10*Inputs!$D$8,0)</f>
        <v>7863</v>
      </c>
      <c r="N14" s="34">
        <f>ROUNDUP(N10*Inputs!$D$8,0)</f>
        <v>7863</v>
      </c>
      <c r="O14" s="34">
        <f>ROUNDUP(O10*Inputs!$D$8,0)</f>
        <v>7863</v>
      </c>
      <c r="P14" s="64">
        <f>ROUNDUP(P10*Inputs!$D$8,0)</f>
        <v>7863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2:33" s="1" customFormat="1" x14ac:dyDescent="0.3">
      <c r="B15" s="61" t="s">
        <v>30</v>
      </c>
      <c r="C15" s="68"/>
      <c r="D15" s="68">
        <f>(D12+D13)*Inputs!$D$9</f>
        <v>494.52000000000004</v>
      </c>
      <c r="E15" s="68">
        <f>(E12+E13)*Inputs!$D$9</f>
        <v>1420.42</v>
      </c>
      <c r="F15" s="71">
        <f>(F12+F13)*Inputs!$D$9</f>
        <v>2515.56</v>
      </c>
      <c r="G15" s="100">
        <f>(G12+G13)*Inputs!$D$9</f>
        <v>1580.52</v>
      </c>
      <c r="H15" s="51">
        <f>(H12+H13)*Inputs!$D$9</f>
        <v>2506.42</v>
      </c>
      <c r="I15" s="51">
        <f>(I12+I13)*Inputs!$D$9</f>
        <v>3586</v>
      </c>
      <c r="J15" s="74">
        <f>(J12+J13)*Inputs!$D$9</f>
        <v>2172</v>
      </c>
      <c r="K15" s="34">
        <f>(K12+K13)*Inputs!$D$9</f>
        <v>2172</v>
      </c>
      <c r="L15" s="34">
        <f>(L12+L13)*Inputs!$D$9</f>
        <v>2172</v>
      </c>
      <c r="M15" s="34">
        <f>(M12+M13)*Inputs!$D$9</f>
        <v>2172</v>
      </c>
      <c r="N15" s="34">
        <f>(N12+N13)*Inputs!$D$9</f>
        <v>2172</v>
      </c>
      <c r="O15" s="34">
        <f>(O12+O13)*Inputs!$D$9</f>
        <v>2172</v>
      </c>
      <c r="P15" s="64">
        <f>(P12+P13)*Inputs!$D$9</f>
        <v>2172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2:33" s="1" customFormat="1" x14ac:dyDescent="0.3">
      <c r="B16" s="65" t="s">
        <v>29</v>
      </c>
      <c r="C16" s="69">
        <f>C14-C15</f>
        <v>0</v>
      </c>
      <c r="D16" s="69">
        <f>C16+D14</f>
        <v>8775</v>
      </c>
      <c r="E16" s="69">
        <f t="shared" ref="E16:P16" si="8">D16+E14</f>
        <v>7800</v>
      </c>
      <c r="F16" s="72">
        <f t="shared" si="8"/>
        <v>780</v>
      </c>
      <c r="G16" s="101">
        <f t="shared" si="8"/>
        <v>6630</v>
      </c>
      <c r="H16" s="53">
        <f t="shared" si="8"/>
        <v>7800</v>
      </c>
      <c r="I16" s="53">
        <f t="shared" si="8"/>
        <v>7800</v>
      </c>
      <c r="J16" s="75">
        <f t="shared" si="8"/>
        <v>7800</v>
      </c>
      <c r="K16" s="56">
        <f t="shared" si="8"/>
        <v>16318</v>
      </c>
      <c r="L16" s="56">
        <f t="shared" si="8"/>
        <v>23608</v>
      </c>
      <c r="M16" s="56">
        <f t="shared" si="8"/>
        <v>31471</v>
      </c>
      <c r="N16" s="56">
        <f t="shared" si="8"/>
        <v>39334</v>
      </c>
      <c r="O16" s="56">
        <f>N16+O14</f>
        <v>47197</v>
      </c>
      <c r="P16" s="66">
        <f t="shared" si="8"/>
        <v>55060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2:33" x14ac:dyDescent="0.3">
      <c r="B17" s="105" t="s">
        <v>21</v>
      </c>
      <c r="C17" s="106">
        <f>(C10)-Analyses!C12-C13-C14-C15</f>
        <v>9947</v>
      </c>
      <c r="D17" s="106">
        <f t="shared" ref="D17:I17" si="9">C17+(D10)-D12-D13-D14-D15</f>
        <v>155058.98000000001</v>
      </c>
      <c r="E17" s="106">
        <f t="shared" si="9"/>
        <v>191232.55999999997</v>
      </c>
      <c r="F17" s="106">
        <f t="shared" si="9"/>
        <v>156538.99999999994</v>
      </c>
      <c r="G17" s="106">
        <f t="shared" si="9"/>
        <v>148472.47999999995</v>
      </c>
      <c r="H17" s="106">
        <f t="shared" si="9"/>
        <v>116585.05999999995</v>
      </c>
      <c r="I17" s="106">
        <f t="shared" si="9"/>
        <v>31979.059999999939</v>
      </c>
      <c r="J17" s="106">
        <f t="shared" ref="J17:N17" si="10">I17+(J10)-J12-J13-J14-J15</f>
        <v>37037.059999999939</v>
      </c>
      <c r="K17" s="106">
        <f t="shared" si="10"/>
        <v>39427.059999999939</v>
      </c>
      <c r="L17" s="106">
        <f t="shared" si="10"/>
        <v>25495.059999999939</v>
      </c>
      <c r="M17" s="106">
        <f t="shared" si="10"/>
        <v>19180.059999999939</v>
      </c>
      <c r="N17" s="106">
        <f t="shared" si="10"/>
        <v>12865.059999999939</v>
      </c>
      <c r="O17" s="106">
        <f>N17+(O10)-O12-O13-O14-O15</f>
        <v>6550.0599999999395</v>
      </c>
      <c r="P17" s="106">
        <f>O17+(P10)-P12-P13-P14-P15</f>
        <v>235.05999999993946</v>
      </c>
    </row>
    <row r="19" spans="2:33" s="1" customFormat="1" x14ac:dyDescent="0.3">
      <c r="B19" s="27" t="s">
        <v>48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2:33" s="1" customFormat="1" x14ac:dyDescent="0.3">
      <c r="B20" s="27"/>
      <c r="G20" s="109" t="s">
        <v>55</v>
      </c>
      <c r="H20" s="109"/>
      <c r="I20" s="109"/>
      <c r="J20" s="109"/>
      <c r="K20" s="109" t="s">
        <v>56</v>
      </c>
      <c r="L20" s="109"/>
      <c r="M20" s="109"/>
      <c r="N20" s="109"/>
      <c r="O20" s="109"/>
      <c r="P20" s="109"/>
    </row>
    <row r="21" spans="2:33" s="1" customFormat="1" x14ac:dyDescent="0.3">
      <c r="B21" s="41" t="s">
        <v>46</v>
      </c>
      <c r="C21" s="42"/>
      <c r="D21" s="42"/>
      <c r="E21" s="42"/>
      <c r="F21" s="42"/>
      <c r="G21" s="33">
        <f t="shared" ref="G21:J24" si="11">G$12*$C32</f>
        <v>15552.592592592593</v>
      </c>
      <c r="H21" s="33">
        <f t="shared" si="11"/>
        <v>15552.592592592593</v>
      </c>
      <c r="I21" s="33">
        <f t="shared" si="11"/>
        <v>15552.592592592593</v>
      </c>
      <c r="J21" s="33">
        <f t="shared" si="11"/>
        <v>15552.592592592593</v>
      </c>
      <c r="K21" s="38">
        <f t="shared" ref="K21:P24" si="12">K$12*$D32</f>
        <v>16594.079999999998</v>
      </c>
      <c r="L21" s="38">
        <f t="shared" si="12"/>
        <v>16594.079999999998</v>
      </c>
      <c r="M21" s="38">
        <f t="shared" si="12"/>
        <v>16594.079999999998</v>
      </c>
      <c r="N21" s="38">
        <f t="shared" si="12"/>
        <v>16594.079999999998</v>
      </c>
      <c r="O21" s="38">
        <f t="shared" si="12"/>
        <v>16594.079999999998</v>
      </c>
      <c r="P21" s="43">
        <f t="shared" si="12"/>
        <v>16594.079999999998</v>
      </c>
    </row>
    <row r="22" spans="2:33" s="1" customFormat="1" x14ac:dyDescent="0.3">
      <c r="B22" s="44" t="s">
        <v>47</v>
      </c>
      <c r="C22" s="45"/>
      <c r="D22" s="45"/>
      <c r="E22" s="45"/>
      <c r="F22" s="45"/>
      <c r="G22" s="34">
        <f t="shared" si="11"/>
        <v>33518.518518518518</v>
      </c>
      <c r="H22" s="34">
        <f t="shared" si="11"/>
        <v>33518.518518518518</v>
      </c>
      <c r="I22" s="34">
        <f t="shared" si="11"/>
        <v>33518.518518518518</v>
      </c>
      <c r="J22" s="34">
        <f t="shared" si="11"/>
        <v>33518.518518518518</v>
      </c>
      <c r="K22" s="39">
        <f t="shared" si="12"/>
        <v>29484.9</v>
      </c>
      <c r="L22" s="39">
        <f t="shared" si="12"/>
        <v>29484.9</v>
      </c>
      <c r="M22" s="39">
        <f t="shared" si="12"/>
        <v>29484.9</v>
      </c>
      <c r="N22" s="39">
        <f t="shared" si="12"/>
        <v>29484.9</v>
      </c>
      <c r="O22" s="39">
        <f t="shared" si="12"/>
        <v>29484.9</v>
      </c>
      <c r="P22" s="46">
        <f t="shared" si="12"/>
        <v>29484.9</v>
      </c>
    </row>
    <row r="23" spans="2:33" s="1" customFormat="1" x14ac:dyDescent="0.3">
      <c r="B23" s="44" t="s">
        <v>59</v>
      </c>
      <c r="C23" s="45"/>
      <c r="D23" s="45"/>
      <c r="E23" s="45"/>
      <c r="F23" s="45"/>
      <c r="G23" s="34">
        <f t="shared" si="11"/>
        <v>4826.666666666667</v>
      </c>
      <c r="H23" s="34">
        <f t="shared" si="11"/>
        <v>4826.666666666667</v>
      </c>
      <c r="I23" s="34">
        <f t="shared" si="11"/>
        <v>4826.666666666667</v>
      </c>
      <c r="J23" s="34">
        <f t="shared" si="11"/>
        <v>4826.666666666667</v>
      </c>
      <c r="K23" s="39">
        <f t="shared" si="12"/>
        <v>7900.65</v>
      </c>
      <c r="L23" s="39">
        <f t="shared" si="12"/>
        <v>7900.65</v>
      </c>
      <c r="M23" s="39">
        <f t="shared" si="12"/>
        <v>7900.65</v>
      </c>
      <c r="N23" s="39">
        <f t="shared" si="12"/>
        <v>7900.65</v>
      </c>
      <c r="O23" s="39">
        <f t="shared" si="12"/>
        <v>7900.65</v>
      </c>
      <c r="P23" s="46">
        <f t="shared" si="12"/>
        <v>7900.65</v>
      </c>
    </row>
    <row r="24" spans="2:33" s="1" customFormat="1" x14ac:dyDescent="0.3">
      <c r="B24" s="47" t="s">
        <v>58</v>
      </c>
      <c r="C24" s="48"/>
      <c r="D24" s="48"/>
      <c r="E24" s="48"/>
      <c r="F24" s="48"/>
      <c r="G24" s="35">
        <f t="shared" si="11"/>
        <v>402.22222222222223</v>
      </c>
      <c r="H24" s="35">
        <f t="shared" si="11"/>
        <v>402.22222222222223</v>
      </c>
      <c r="I24" s="35">
        <f t="shared" si="11"/>
        <v>402.22222222222223</v>
      </c>
      <c r="J24" s="35">
        <f t="shared" si="11"/>
        <v>402.22222222222223</v>
      </c>
      <c r="K24" s="40">
        <f t="shared" si="12"/>
        <v>320.37</v>
      </c>
      <c r="L24" s="40">
        <f t="shared" si="12"/>
        <v>320.37</v>
      </c>
      <c r="M24" s="40">
        <f t="shared" si="12"/>
        <v>320.37</v>
      </c>
      <c r="N24" s="40">
        <f t="shared" si="12"/>
        <v>320.37</v>
      </c>
      <c r="O24" s="40">
        <f t="shared" si="12"/>
        <v>320.37</v>
      </c>
      <c r="P24" s="49">
        <f t="shared" si="12"/>
        <v>320.37</v>
      </c>
    </row>
    <row r="25" spans="2:33" s="1" customFormat="1" x14ac:dyDescent="0.3"/>
    <row r="26" spans="2:33" s="1" customFormat="1" ht="20.399999999999999" thickBot="1" x14ac:dyDescent="0.45">
      <c r="B26" s="108" t="s">
        <v>51</v>
      </c>
      <c r="C26" s="107"/>
      <c r="D26" s="107"/>
      <c r="E26" s="107"/>
      <c r="F26" s="107"/>
      <c r="H26" s="107" t="s">
        <v>66</v>
      </c>
      <c r="I26" s="107"/>
      <c r="J26" s="107"/>
      <c r="K26" s="107"/>
      <c r="L26" s="107"/>
      <c r="M26" s="107"/>
      <c r="N26" s="107"/>
      <c r="O26" s="107"/>
      <c r="P26" s="107"/>
      <c r="Q26" s="107"/>
      <c r="R26" s="107"/>
    </row>
    <row r="27" spans="2:33" s="1" customFormat="1" ht="15" thickTop="1" x14ac:dyDescent="0.3">
      <c r="B27" s="90" t="s">
        <v>52</v>
      </c>
      <c r="H27" s="110" t="s">
        <v>72</v>
      </c>
      <c r="I27" s="110"/>
      <c r="J27" s="110"/>
      <c r="K27" s="110"/>
      <c r="L27" s="110"/>
      <c r="M27" s="110"/>
      <c r="N27" s="110"/>
      <c r="O27" s="110"/>
      <c r="P27" s="110"/>
    </row>
    <row r="28" spans="2:33" s="1" customFormat="1" x14ac:dyDescent="0.3">
      <c r="B28" s="90" t="s">
        <v>53</v>
      </c>
      <c r="H28" s="1" t="s">
        <v>67</v>
      </c>
    </row>
    <row r="29" spans="2:33" s="1" customFormat="1" x14ac:dyDescent="0.3">
      <c r="B29" s="90" t="s">
        <v>54</v>
      </c>
      <c r="H29" s="1" t="s">
        <v>68</v>
      </c>
    </row>
    <row r="30" spans="2:33" s="1" customFormat="1" x14ac:dyDescent="0.3">
      <c r="B30" s="90" t="s">
        <v>57</v>
      </c>
      <c r="H30" s="1" t="s">
        <v>69</v>
      </c>
    </row>
    <row r="31" spans="2:33" s="1" customFormat="1" x14ac:dyDescent="0.3">
      <c r="B31"/>
      <c r="C31" s="94" t="s">
        <v>61</v>
      </c>
      <c r="D31" s="94" t="s">
        <v>62</v>
      </c>
      <c r="F31"/>
      <c r="G31"/>
    </row>
    <row r="32" spans="2:33" s="1" customFormat="1" x14ac:dyDescent="0.3">
      <c r="B32" s="57" t="s">
        <v>46</v>
      </c>
      <c r="C32" s="91">
        <v>0.28641975308641976</v>
      </c>
      <c r="D32" s="91">
        <v>0.30559999999999998</v>
      </c>
    </row>
    <row r="33" spans="2:7" s="1" customFormat="1" x14ac:dyDescent="0.3">
      <c r="B33" s="57" t="s">
        <v>47</v>
      </c>
      <c r="C33" s="91">
        <v>0.61728395061728392</v>
      </c>
      <c r="D33" s="91">
        <v>0.54300000000000004</v>
      </c>
    </row>
    <row r="34" spans="2:7" s="1" customFormat="1" x14ac:dyDescent="0.3">
      <c r="B34" s="57" t="s">
        <v>60</v>
      </c>
      <c r="C34" s="91">
        <v>8.8888888888888892E-2</v>
      </c>
      <c r="D34" s="91">
        <v>0.14549999999999999</v>
      </c>
      <c r="G34"/>
    </row>
    <row r="35" spans="2:7" s="1" customFormat="1" x14ac:dyDescent="0.3">
      <c r="B35" s="57" t="s">
        <v>58</v>
      </c>
      <c r="C35" s="91">
        <v>7.4074074074074077E-3</v>
      </c>
      <c r="D35" s="91">
        <v>5.8999999999999999E-3</v>
      </c>
      <c r="G35"/>
    </row>
    <row r="36" spans="2:7" s="1" customFormat="1" x14ac:dyDescent="0.3">
      <c r="B36" s="92" t="s">
        <v>63</v>
      </c>
      <c r="C36" s="93">
        <f>SUM(C32:C35)</f>
        <v>1</v>
      </c>
      <c r="D36" s="93">
        <f>SUM(D32:D35)</f>
        <v>1</v>
      </c>
      <c r="F36"/>
      <c r="G36"/>
    </row>
    <row r="37" spans="2:7" s="1" customFormat="1" x14ac:dyDescent="0.3"/>
    <row r="38" spans="2:7" s="1" customFormat="1" x14ac:dyDescent="0.3">
      <c r="B38" s="90" t="s">
        <v>64</v>
      </c>
    </row>
    <row r="39" spans="2:7" s="1" customFormat="1" x14ac:dyDescent="0.3"/>
    <row r="40" spans="2:7" s="1" customFormat="1" x14ac:dyDescent="0.3"/>
    <row r="41" spans="2:7" s="1" customFormat="1" x14ac:dyDescent="0.3"/>
    <row r="42" spans="2:7" s="1" customFormat="1" x14ac:dyDescent="0.3"/>
    <row r="43" spans="2:7" s="1" customFormat="1" x14ac:dyDescent="0.3"/>
    <row r="44" spans="2:7" s="1" customFormat="1" x14ac:dyDescent="0.3"/>
    <row r="45" spans="2:7" s="1" customFormat="1" x14ac:dyDescent="0.3"/>
    <row r="46" spans="2:7" s="1" customFormat="1" x14ac:dyDescent="0.3"/>
    <row r="47" spans="2:7" s="1" customFormat="1" x14ac:dyDescent="0.3"/>
    <row r="48" spans="2:7" s="1" customFormat="1" x14ac:dyDescent="0.3"/>
  </sheetData>
  <sheetProtection algorithmName="SHA-512" hashValue="gHk4yOMlGAHV4Wb5P7dEvgIqjOONvtENO2bGaTWTkSCc/NQhduJxqyRTZTvMRE7a62EbTq9bvi9u0mykNl4B8w==" saltValue="lcU1X4momqGcXwVAYTb8RA==" spinCount="100000" sheet="1" objects="1" scenarios="1"/>
  <mergeCells count="3">
    <mergeCell ref="G20:J20"/>
    <mergeCell ref="K20:P20"/>
    <mergeCell ref="H27:P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567EBA7A0BC468FCCC12FCDCB523C" ma:contentTypeVersion="10" ma:contentTypeDescription="Create a new document." ma:contentTypeScope="" ma:versionID="5476a531f76cae291adc3f6ecb33f0df">
  <xsd:schema xmlns:xsd="http://www.w3.org/2001/XMLSchema" xmlns:xs="http://www.w3.org/2001/XMLSchema" xmlns:p="http://schemas.microsoft.com/office/2006/metadata/properties" xmlns:ns3="f03e8926-bd29-482e-bbad-e07639f52ea4" targetNamespace="http://schemas.microsoft.com/office/2006/metadata/properties" ma:root="true" ma:fieldsID="2959d46dc6b945f893e20625d16ad8f0" ns3:_="">
    <xsd:import namespace="f03e8926-bd29-482e-bbad-e07639f52e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e8926-bd29-482e-bbad-e07639f52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E85B6E-F15B-4142-AEE6-4A4F0E0AA18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03e8926-bd29-482e-bbad-e07639f52ea4"/>
  </ds:schemaRefs>
</ds:datastoreItem>
</file>

<file path=customXml/itemProps2.xml><?xml version="1.0" encoding="utf-8"?>
<ds:datastoreItem xmlns:ds="http://schemas.openxmlformats.org/officeDocument/2006/customXml" ds:itemID="{B46FB3DE-5A72-4224-943D-AED8242079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43BA73-C499-4DF0-8B20-0E006A6AB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e8926-bd29-482e-bbad-e07639f52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Deliveries</vt:lpstr>
      <vt:lpstr>Inputs</vt:lpstr>
      <vt:lpstr>Analyses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Montfort, Tessa</dc:creator>
  <cp:lastModifiedBy>Briat Gudrun</cp:lastModifiedBy>
  <dcterms:created xsi:type="dcterms:W3CDTF">2021-01-20T05:03:11Z</dcterms:created>
  <dcterms:modified xsi:type="dcterms:W3CDTF">2021-01-22T14:50:35Z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0x010100A1C567EBA7A0BC468FCCC12FCDCB523C</vt:lpwstr>
  </property>
</Properties>
</file>